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aUxCx/eLggacRPOE0gKFsvePqhgqJjpPhSTn57u77GIEZrej7hBMXJpWFdlSYFewuTR6EstM6u1NHdBSjQgbw==" workbookSaltValue="SYLgY5HqqnE+Cm++v6Fdq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F16" i="17" s="1"/>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E19" i="8" s="1"/>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B12" i="8"/>
  <c r="BA12" i="8"/>
  <c r="BA13"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M19" i="8"/>
  <c r="AP13" i="17"/>
  <c r="BD17" i="8"/>
  <c r="BF17" i="8"/>
  <c r="AB19" i="19"/>
  <c r="BF9" i="13"/>
  <c r="E18" i="12"/>
  <c r="ER19" i="8"/>
  <c r="EL19" i="8"/>
  <c r="EQ19" i="8"/>
  <c r="AP12" i="11"/>
  <c r="B9" i="6"/>
  <c r="AT18" i="17"/>
  <c r="N10" i="11"/>
  <c r="N9" i="11"/>
  <c r="T10" i="21"/>
  <c r="F10" i="10"/>
  <c r="N11" i="11"/>
  <c r="ES19" i="8"/>
  <c r="C18" i="7"/>
  <c r="S19" i="13"/>
  <c r="AG19" i="19"/>
  <c r="CI19" i="8"/>
  <c r="EP19" i="8"/>
  <c r="ER19" i="13"/>
  <c r="AL13" i="16"/>
  <c r="S13" i="16"/>
  <c r="H18" i="16"/>
  <c r="P13" i="16"/>
  <c r="AN13" i="20"/>
  <c r="F15" i="17"/>
  <c r="N13" i="2"/>
  <c r="AC10" i="11"/>
  <c r="H13" i="12"/>
  <c r="T19" i="8"/>
  <c r="AJ19" i="8"/>
  <c r="T13" i="12"/>
  <c r="AY18" i="8"/>
  <c r="AZ18" i="13"/>
  <c r="BG15"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S19" i="8" l="1"/>
  <c r="Y19" i="8"/>
  <c r="AW18" i="21"/>
  <c r="Z19" i="8"/>
  <c r="BD12" i="8"/>
  <c r="AB19" i="8"/>
  <c r="F9" i="2"/>
  <c r="C17" i="6"/>
  <c r="M13" i="2"/>
  <c r="H12" i="2"/>
  <c r="B17" i="6"/>
  <c r="AL10" i="11"/>
  <c r="B12" i="6"/>
  <c r="L12" i="14"/>
  <c r="H12" i="7"/>
  <c r="C11" i="6"/>
  <c r="AO16" i="11"/>
  <c r="M18" i="2"/>
  <c r="N18" i="2"/>
  <c r="N19" i="2" s="1"/>
  <c r="I11" i="12"/>
  <c r="BE12" i="13"/>
  <c r="E11" i="6"/>
  <c r="AO9" i="11"/>
  <c r="AL11" i="11"/>
  <c r="D11" i="12"/>
  <c r="BF11" i="8"/>
  <c r="BF9" i="8"/>
  <c r="BG9" i="8"/>
  <c r="K9" i="7" s="1"/>
  <c r="BE9" i="8"/>
  <c r="BD11" i="8"/>
  <c r="BE11" i="8"/>
  <c r="BG12" i="8"/>
  <c r="K12" i="7" s="1"/>
  <c r="BE12" i="8"/>
  <c r="I12" i="7" s="1"/>
  <c r="BD15" i="8"/>
  <c r="H15" i="7" s="1"/>
  <c r="BE15" i="8"/>
  <c r="BG16" i="8"/>
  <c r="C10" i="6"/>
  <c r="L11" i="14"/>
  <c r="E18" i="2"/>
  <c r="AO17" i="11"/>
  <c r="AL15" i="11"/>
  <c r="L16" i="14"/>
  <c r="F15" i="11"/>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J18" i="2" s="1"/>
  <c r="G18" i="2"/>
  <c r="B18" i="6" s="1"/>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9" i="7" l="1"/>
  <c r="F18" i="11"/>
  <c r="Y13" i="11"/>
  <c r="B19" i="7"/>
  <c r="D19" i="5"/>
  <c r="I10" i="12"/>
  <c r="AL18" i="11"/>
  <c r="H13" i="2"/>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D20" i="16"/>
  <c r="F20" i="12"/>
  <c r="R20" i="11"/>
  <c r="AR20" i="20"/>
  <c r="Q20" i="16"/>
  <c r="K20" i="16"/>
  <c r="Q20" i="11"/>
  <c r="P20" i="17"/>
  <c r="U20" i="1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Z20" i="17"/>
  <c r="AG20" i="21"/>
  <c r="AE20" i="17"/>
  <c r="H20" i="21"/>
  <c r="Y20" i="11"/>
  <c r="AG20" i="17"/>
  <c r="V20" i="17"/>
  <c r="BC20" i="16"/>
  <c r="AE20" i="11"/>
  <c r="AB20" i="11"/>
  <c r="BV13" i="16" l="1"/>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J19" i="11" l="1"/>
  <c r="BD19" i="8"/>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<sst xmlns="http://schemas.openxmlformats.org/spreadsheetml/2006/main" count="2102" uniqueCount="918">
  <si>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</si>
  <si>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</si>
  <si>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</si>
  <si>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</si>
  <si>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</si>
  <si>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</si>
  <si>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</si>
  <si>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</si>
  <si>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</si>
  <si>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</si>
  <si>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</si>
  <si>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</si>
  <si>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</si>
  <si>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</si>
  <si>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</si>
  <si>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</si>
  <si>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</si>
  <si>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</si>
  <si>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</si>
  <si>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</si>
  <si>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</si>
  <si>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</si>
  <si>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</si>
  <si>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</si>
  <si>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</si>
  <si>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</si>
  <si>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</si>
  <si>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</si>
  <si>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</si>
  <si>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</si>
  <si>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</si>
  <si>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</si>
  <si>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</si>
  <si>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</si>
  <si>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</si>
  <si>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</si>
  <si>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</si>
  <si>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</si>
  <si>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</si>
  <si>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</si>
  <si>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</si>
  <si>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</si>
  <si>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</si>
  <si>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</si>
  <si>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</si>
  <si>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</si>
  <si>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</si>
  <si>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</si>
  <si>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</si>
  <si>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</si>
  <si>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</si>
  <si>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</si>
  <si>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</si>
  <si>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</si>
  <si>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</si>
  <si>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</si>
  <si>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</si>
  <si>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</si>
  <si>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</si>
  <si>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</si>
  <si>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</si>
  <si>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</si>
  <si>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</si>
  <si>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</si>
  <si>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</si>
  <si>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</si>
  <si>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</si>
  <si>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</si>
  <si>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</si>
  <si>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</si>
  <si>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</si>
  <si>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</si>
  <si>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</si>
  <si>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</si>
  <si>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</si>
  <si>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</si>
  <si>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</si>
  <si>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</si>
  <si>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</si>
  <si>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</si>
  <si>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</si>
  <si>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</si>
  <si>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</si>
  <si>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</si>
  <si>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</si>
  <si>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</si>
  <si>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</si>
  <si>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</si>
  <si>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</si>
  <si>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</si>
  <si>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</si>
  <si>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</si>
  <si>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</si>
  <si>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</si>
  <si>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</si>
  <si>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</si>
  <si>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</si>
  <si>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</si>
  <si>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</si>
  <si>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</si>
  <si>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</si>
  <si>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</si>
  <si>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</si>
  <si>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</si>
  <si>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</si>
  <si>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</si>
  <si>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</si>
  <si>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</si>
  <si>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</si>
  <si>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</si>
  <si>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</si>
  <si>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</si>
  <si>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</si>
  <si>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</si>
  <si>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</si>
  <si>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</si>
  <si>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</si>
  <si>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</si>
  <si>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</si>
  <si>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</si>
  <si>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</si>
  <si>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</si>
  <si>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</si>
  <si>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</si>
  <si>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</si>
  <si>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</si>
  <si>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</si>
  <si>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</si>
  <si>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</si>
  <si>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</si>
  <si>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</si>
  <si>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</si>
  <si>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</si>
  <si>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</si>
  <si>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</si>
  <si>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</si>
  <si>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</si>
  <si>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</si>
  <si>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</si>
  <si>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</si>
  <si>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</si>
  <si>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</si>
  <si>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</si>
  <si>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</si>
  <si>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</si>
  <si>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</si>
  <si>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</si>
  <si>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</si>
  <si>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</si>
  <si>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</si>
  <si>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</si>
  <si>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</si>
  <si>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</si>
  <si>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</si>
  <si>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</si>
  <si>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</si>
  <si>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</si>
  <si>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</si>
  <si>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</si>
  <si>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</si>
  <si>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</si>
  <si>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</si>
  <si>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</si>
  <si>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</si>
  <si>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</si>
  <si>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</si>
  <si>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</si>
  <si>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</si>
  <si>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</si>
  <si>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</si>
  <si>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</si>
  <si>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</si>
  <si>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</si>
  <si>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</si>
  <si>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</si>
  <si>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</si>
  <si>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</si>
  <si>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</si>
  <si>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</si>
  <si>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</si>
  <si>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</si>
  <si>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</si>
  <si>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</si>
  <si>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</si>
  <si>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</si>
  <si>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</si>
  <si>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</si>
  <si>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</si>
  <si>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</si>
  <si>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</si>
  <si>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</si>
  <si>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</si>
  <si>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</si>
  <si>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</si>
  <si>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</si>
  <si>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</si>
  <si>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</si>
  <si>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</si>
  <si>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</si>
  <si>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</si>
  <si>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</si>
  <si>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</si>
  <si>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</si>
  <si>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</si>
  <si>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</si>
  <si>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</si>
  <si>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</si>
  <si>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</si>
  <si>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</si>
  <si>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</si>
  <si>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</si>
  <si>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</si>
  <si>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</si>
  <si>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</si>
  <si>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</si>
  <si>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</si>
  <si>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</si>
  <si>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</si>
  <si>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</si>
  <si>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</si>
  <si>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</si>
  <si>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</si>
  <si>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</si>
  <si>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</si>
  <si>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</si>
  <si>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</si>
  <si>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</si>
  <si>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</si>
  <si>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</si>
  <si>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</si>
  <si>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</si>
  <si>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</si>
  <si>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</si>
  <si>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</si>
  <si>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</si>
  <si>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</si>
  <si>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</si>
  <si>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</si>
  <si>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</si>
  <si>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</si>
  <si>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</si>
  <si>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</si>
  <si>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</si>
  <si>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</si>
  <si>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</si>
  <si>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</si>
  <si>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</si>
  <si>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</si>
  <si>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</si>
  <si>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</si>
  <si>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</si>
  <si>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</si>
  <si>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</si>
  <si>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</si>
  <si>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</si>
  <si>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</si>
  <si>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</si>
  <si>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</si>
  <si>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</si>
  <si>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</si>
  <si>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</si>
  <si>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</si>
  <si>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</si>
  <si>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</si>
  <si>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</si>
  <si>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</si>
  <si>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</si>
  <si>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</si>
  <si>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</si>
  <si>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</si>
  <si>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</si>
  <si>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</si>
  <si>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</si>
  <si>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</si>
  <si>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</si>
  <si>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</si>
  <si>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</si>
  <si>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</si>
  <si>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</si>
  <si>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</si>
  <si>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</si>
  <si>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</si>
  <si>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</si>
  <si>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</si>
  <si>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</si>
  <si>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</si>
  <si>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</si>
  <si>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</si>
  <si>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</si>
  <si>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</si>
  <si>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</si>
  <si>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</si>
  <si>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</si>
  <si>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</si>
  <si>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</si>
  <si>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</si>
  <si>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</si>
  <si>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</si>
  <si>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</si>
  <si>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</si>
  <si>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</si>
  <si>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</si>
  <si>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</si>
  <si>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</si>
  <si>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</si>
  <si>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</si>
  <si>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</si>
  <si>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</si>
  <si>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</si>
  <si>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</si>
  <si>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</si>
  <si>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</si>
  <si>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</si>
  <si>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</si>
  <si>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</si>
  <si>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</si>
  <si>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</si>
  <si>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</si>
  <si>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</si>
  <si>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</si>
  <si>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</si>
  <si>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</si>
  <si>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</si>
  <si>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</si>
  <si>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</si>
  <si>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</si>
  <si>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</si>
  <si>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</si>
  <si>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</si>
  <si>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</si>
  <si>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</si>
  <si>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</si>
  <si>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</si>
  <si>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</si>
  <si>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</si>
  <si>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</si>
  <si>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</si>
  <si>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</si>
  <si>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</si>
  <si>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</si>
  <si>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</si>
  <si>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</si>
  <si>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</si>
  <si>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</si>
  <si>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</si>
  <si>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</si>
  <si>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</si>
  <si>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</si>
  <si>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</si>
  <si>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</si>
  <si>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</si>
  <si>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</si>
  <si>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</si>
  <si>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</si>
  <si>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</si>
  <si>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</si>
  <si>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</si>
  <si>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</si>
  <si>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</si>
  <si>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</si>
  <si>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</si>
  <si>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</si>
  <si>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</si>
  <si>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</si>
  <si>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</si>
  <si>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</si>
  <si>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</si>
  <si>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</si>
  <si>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</si>
  <si>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</si>
  <si>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</si>
  <si>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</si>
  <si>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</si>
  <si>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</si>
  <si>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</si>
  <si>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</si>
  <si>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</si>
  <si>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</si>
  <si>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</si>
  <si>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</si>
  <si>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</si>
  <si>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</si>
  <si>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</si>
  <si>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</si>
  <si>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</si>
  <si>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</si>
  <si>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</si>
  <si>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</si>
  <si>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</si>
  <si>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</si>
  <si>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</si>
  <si>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</si>
  <si>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</si>
  <si>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</si>
  <si>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</si>
  <si>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</si>
  <si>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</si>
  <si>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</si>
  <si>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</si>
  <si>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</si>
  <si>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</si>
  <si>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</si>
  <si>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</si>
  <si>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</si>
  <si>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</si>
  <si>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</si>
  <si>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</si>
  <si>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</si>
  <si>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</si>
  <si>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</si>
  <si>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</si>
  <si>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</si>
  <si>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</si>
  <si>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</si>
  <si>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</si>
  <si>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</si>
  <si>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</si>
  <si>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</si>
  <si>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</si>
  <si>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</si>
  <si>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</si>
  <si>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</si>
  <si>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</si>
  <si>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</si>
  <si>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</si>
  <si>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</si>
  <si>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</si>
  <si>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</si>
  <si>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</si>
  <si>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</si>
  <si>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</si>
  <si>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</si>
  <si>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</si>
  <si>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</si>
  <si>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</si>
  <si>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</si>
  <si>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</si>
  <si>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</si>
  <si>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</si>
  <si>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</si>
  <si>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</si>
  <si>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</si>
  <si>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</si>
  <si>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</si>
  <si>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</si>
  <si>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</si>
  <si>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</si>
  <si>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</si>
  <si>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</si>
  <si>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</si>
  <si>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</si>
  <si>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</si>
  <si>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</si>
  <si>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</si>
  <si>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</si>
  <si>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</si>
  <si>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</si>
  <si>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</si>
  <si>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</si>
  <si>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</si>
  <si>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</si>
  <si>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</si>
  <si>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</si>
  <si>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</si>
  <si>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</si>
  <si>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</si>
  <si>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</si>
  <si>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</si>
  <si>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</si>
  <si>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</si>
  <si>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</si>
  <si>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</si>
  <si>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</si>
  <si>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</si>
  <si>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</si>
  <si>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</si>
  <si>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</si>
  <si>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</si>
  <si>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</si>
  <si>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</si>
  <si>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</si>
  <si>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</si>
  <si>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</si>
  <si>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</si>
  <si>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</si>
  <si>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</si>
  <si>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</si>
  <si>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</si>
  <si>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</si>
  <si>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</si>
  <si>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</si>
  <si>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</si>
  <si>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</si>
  <si>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</si>
  <si>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</si>
  <si>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</si>
  <si>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</si>
  <si>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</si>
  <si>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</si>
  <si>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</si>
  <si>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</si>
  <si>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</si>
  <si>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</si>
  <si>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</si>
  <si>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</si>
  <si>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</si>
  <si>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</si>
  <si>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</si>
  <si>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</si>
  <si>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</si>
  <si>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</si>
  <si>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</si>
  <si>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</si>
  <si>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</si>
  <si>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</si>
  <si>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</si>
  <si>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</si>
  <si>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</si>
  <si>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</si>
  <si>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</si>
  <si>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</si>
  <si>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</si>
  <si>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</si>
  <si>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</si>
  <si>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</si>
  <si>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</si>
  <si>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</si>
  <si>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</si>
  <si>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</si>
  <si>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</si>
  <si>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</si>
  <si>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</si>
  <si>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</si>
  <si>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</si>
  <si>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</si>
  <si>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</si>
  <si>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</si>
  <si>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</si>
  <si>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</si>
  <si>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</si>
  <si>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</si>
  <si>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</si>
  <si>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</si>
  <si>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</si>
  <si>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</si>
  <si>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</si>
  <si>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</si>
  <si>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</si>
  <si>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</si>
  <si>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</si>
  <si>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</si>
  <si>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</si>
  <si>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</si>
  <si>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</si>
  <si>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</si>
  <si>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</si>
  <si>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</si>
  <si>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</si>
  <si>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</si>
  <si>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</si>
  <si>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</si>
  <si>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</si>
  <si>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</si>
  <si>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</si>
  <si>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</si>
  <si>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</si>
  <si>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</si>
  <si>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</si>
  <si>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</si>
  <si>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</si>
  <si>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</si>
  <si>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</si>
  <si>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</si>
  <si>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</si>
  <si>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</si>
  <si>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</si>
  <si>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</si>
  <si>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</si>
  <si>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</si>
  <si>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</si>
  <si>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</si>
  <si>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</si>
  <si>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</si>
  <si>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</si>
  <si>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</si>
  <si>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</si>
  <si>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</si>
  <si>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</si>
  <si>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</si>
  <si>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</si>
  <si>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</si>
  <si>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</si>
  <si>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</si>
  <si>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</si>
  <si>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</si>
  <si>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</si>
  <si>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</si>
  <si>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</si>
  <si>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</si>
  <si>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</si>
  <si>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</si>
  <si>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</si>
  <si>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</si>
  <si>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</si>
  <si>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</si>
  <si>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</si>
  <si>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</si>
  <si>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</si>
  <si>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</si>
  <si>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</si>
  <si>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</si>
  <si>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</si>
  <si>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</si>
  <si>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</si>
  <si>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</si>
  <si>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</si>
  <si>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</si>
  <si>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</si>
  <si>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</si>
  <si>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</si>
  <si>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</si>
  <si>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</si>
  <si>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</si>
  <si>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</si>
  <si>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</si>
  <si>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</si>
  <si>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</si>
  <si>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</si>
  <si>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</si>
  <si>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</si>
  <si>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</si>
  <si>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</si>
  <si>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</si>
  <si>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</si>
  <si>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</si>
  <si>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</si>
  <si>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</si>
  <si>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</si>
  <si>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</si>
  <si>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</si>
  <si>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</si>
  <si>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</si>
  <si>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</si>
  <si>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</si>
  <si>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</si>
  <si>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</si>
  <si>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</si>
  <si>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</si>
  <si>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</si>
  <si>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</si>
  <si>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</si>
  <si>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</si>
  <si>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</si>
  <si>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</si>
  <si>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</si>
  <si>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</si>
  <si>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</si>
  <si>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</si>
  <si>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</si>
  <si>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</si>
  <si>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</si>
  <si>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</si>
  <si>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</si>
  <si>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</si>
  <si>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</si>
  <si>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</si>
  <si>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</si>
  <si>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</si>
  <si>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</si>
  <si>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</si>
  <si>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</si>
  <si>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</si>
  <si>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</si>
  <si>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</si>
  <si>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</si>
  <si>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</si>
  <si>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</si>
  <si>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</si>
  <si>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</si>
  <si>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</si>
  <si>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</si>
  <si>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</si>
  <si>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</si>
  <si>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</si>
  <si>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</si>
  <si>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</si>
  <si>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</si>
  <si>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</si>
  <si>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</si>
  <si>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</si>
  <si>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</si>
  <si>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</si>
  <si>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</si>
  <si>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</si>
  <si>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</si>
  <si>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</si>
  <si>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</si>
  <si>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</si>
  <si>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</si>
  <si>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</si>
  <si>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</si>
  <si>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</si>
  <si>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</si>
  <si>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</si>
  <si>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</si>
  <si>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</si>
  <si>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</si>
  <si>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</si>
  <si>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</si>
  <si>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</si>
  <si>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</si>
  <si>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</si>
  <si>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</si>
  <si>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</si>
  <si>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</si>
  <si>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</si>
  <si>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</si>
  <si>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</si>
  <si>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</si>
  <si>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</si>
  <si>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</si>
  <si>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</si>
  <si>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</si>
  <si>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</si>
  <si>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</si>
  <si>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</si>
  <si>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</si>
  <si>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</si>
  <si>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</si>
  <si>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</si>
  <si>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</si>
  <si>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</si>
  <si>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</si>
  <si>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</si>
  <si>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</si>
  <si>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</si>
  <si>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</si>
  <si>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</si>
  <si>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</si>
  <si>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</si>
  <si>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</si>
  <si>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</si>
  <si>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</si>
  <si>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</si>
  <si>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</si>
  <si>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</si>
  <si>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</si>
  <si>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</si>
  <si>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</si>
  <si>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</si>
  <si>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</si>
  <si>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</si>
  <si>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</si>
  <si>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</si>
  <si>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</si>
  <si>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</si>
  <si>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</si>
  <si>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</si>
  <si>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</si>
  <si>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</si>
  <si>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</si>
  <si>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</si>
  <si>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</si>
  <si>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</si>
  <si>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</si>
  <si>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</si>
  <si>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</si>
  <si>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</si>
  <si>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</si>
  <si>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</si>
  <si>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</si>
  <si>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</si>
  <si>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</si>
  <si>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</si>
  <si>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</si>
  <si>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</si>
  <si>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</si>
  <si>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</si>
  <si>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</si>
  <si>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</si>
  <si>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</si>
  <si>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</si>
  <si>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</si>
  <si>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</si>
  <si>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</si>
  <si>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</si>
  <si>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</si>
  <si>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</si>
  <si>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</si>
  <si>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</si>
  <si>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</si>
  <si>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</si>
  <si>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</si>
  <si>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</si>
  <si>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</si>
  <si>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</si>
  <si>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</si>
  <si>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</si>
  <si>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</si>
  <si>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</si>
  <si>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</si>
  <si>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</si>
  <si>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</si>
  <si>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</si>
  <si>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</si>
  <si>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</si>
  <si>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</si>
  <si>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</si>
  <si>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</si>
  <si>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</si>
  <si>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</si>
  <si>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</si>
  <si>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</si>
  <si>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</si>
  <si>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</si>
  <si>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</si>
  <si>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</si>
  <si>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</si>
  <si>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</si>
  <si>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</si>
  <si>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</si>
  <si>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</si>
  <si>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</si>
  <si>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</si>
  <si>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</si>
  <si>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</si>
  <si>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</si>
  <si>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</si>
  <si>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</si>
  <si>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</si>
  <si>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</si>
  <si>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</si>
  <si>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</si>
  <si>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</si>
  <si>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</si>
  <si>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</si>
  <si>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</si>
  <si>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</si>
  <si>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</si>
  <si>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</si>
  <si>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</si>
  <si>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</si>
  <si>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</si>
  <si>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</si>
  <si>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</si>
  <si>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</si>
  <si>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</si>
  <si>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</si>
  <si>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</si>
  <si>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</si>
  <si>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</si>
  <si>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</si>
  <si>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</si>
  <si>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</si>
  <si>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</si>
  <si>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</si>
  <si>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</si>
  <si>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</si>
  <si>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</si>
  <si>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</si>
  <si>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</si>
  <si>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</si>
  <si>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</si>
  <si>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</si>
  <si>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</si>
  <si>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</si>
  <si>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</si>
  <si>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</si>
  <si>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</si>
  <si>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</si>
  <si>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</si>
  <si>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</si>
  <si>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</si>
  <si>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</si>
  <si>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</si>
  <si>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</si>
  <si>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</si>
  <si>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</si>
  <si>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</si>
  <si>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</si>
  <si>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</si>
  <si>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</si>
  <si>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</si>
  <si>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</si>
  <si>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</si>
  <si>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</si>
  <si>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</si>
  <si>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</si>
  <si>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</si>
  <si>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</si>
  <si>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</si>
  <si>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</si>
  <si>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</si>
  <si>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</si>
  <si>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</si>
  <si>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</si>
  <si>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</si>
  <si>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</si>
  <si>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</si>
  <si>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</si>
  <si>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</si>
  <si>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</si>
  <si>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</si>
  <si>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</si>
  <si>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</si>
  <si>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</si>
  <si>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</si>
  <si>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</si>
  <si>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</si>
  <si>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</si>
  <si>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</si>
  <si>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</si>
  <si>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</si>
  <si>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CATALUÑA</t>
  </si>
  <si>
    <t>Provincias</t>
  </si>
  <si>
    <t>BARCELONA</t>
  </si>
  <si>
    <t>Resumenes por Partidos Judiciales</t>
  </si>
  <si>
    <t>SANT BOI DE LLOBREGAT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</si>
</sst>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KyouwS0XvRIOcyjnalxM/1FXjyBiWOo0FLKjJJlaBZDm9C24jz2eAr41BNYTis3dKAebJctpZqQjZa/lUBwiUA==" saltValue="LFNkSMebAQ52wzlFVsR2H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61</v>
      </c>
      <c r="D10" s="224">
        <f>IF(ISNUMBER(Datos!I10),Datos!I10," - ")</f>
        <v>61</v>
      </c>
      <c r="E10" s="225">
        <f>IF(ISNUMBER(Datos!J10),Datos!J10," - ")</f>
        <v>1</v>
      </c>
      <c r="F10" s="225">
        <f>IF(ISNUMBER(Datos!K10),Datos!K10," - ")</f>
        <v>0</v>
      </c>
      <c r="G10" s="1033" t="str">
        <f>IF(Datos!E10&lt;&gt;"",Datos!E10,Datos!D10)</f>
        <v>37</v>
      </c>
      <c r="H10" s="226">
        <f>IF(ISNUMBER(Datos!L10),Datos!L10," - ")</f>
        <v>62</v>
      </c>
      <c r="I10" s="1043" t="str">
        <f>IF(ISNUMBER(Datos!AS10/Datos!BM10),Datos!AS10/Datos!BM10," - ")</f>
        <v xml:space="preserve"> - </v>
      </c>
      <c r="J10" s="1044">
        <f>IF(ISNUMBER(Datos!BY10/Datos!CN10),Datos!BY10/Datos!CN10," - ")</f>
        <v>0</v>
      </c>
      <c r="K10" s="229">
        <f t="shared" ref="K10:K12" si="1">IF(ISNUMBER((E10-F10)/C10),(E10-F10)/C10," - ")</f>
        <v>1.6393442622950821E-2</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6</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21.774069319640567</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61</v>
      </c>
      <c r="D13" s="1048">
        <f>SUBTOTAL(9,D9:D12)</f>
        <v>61</v>
      </c>
      <c r="E13" s="1049">
        <f>SUBTOTAL(9,E9:E12)</f>
        <v>1</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6</v>
      </c>
      <c r="B16" s="501" t="str">
        <f>Datos!A16</f>
        <v xml:space="preserve">Jdos. 1ª Instª. e Instr./Secc. Civil y de Inst. TI                      </v>
      </c>
      <c r="C16" s="224">
        <f t="shared" si="2"/>
        <v>1983</v>
      </c>
      <c r="D16" s="224">
        <f>IF(ISNUMBER(IF(D_I="SI",Datos!I16,Datos!I16+Datos!AC16)),IF(D_I="SI",Datos!I16,Datos!I16+Datos!AC16)," - ")</f>
        <v>1979</v>
      </c>
      <c r="E16" s="225">
        <f>IF(ISNUMBER(IF(D_I="SI",Datos!J16,Datos!J16+Datos!AD16)),IF(D_I="SI",Datos!J16,Datos!J16+Datos!AD16)," - ")</f>
        <v>1796</v>
      </c>
      <c r="F16" s="225">
        <f>IF(ISNUMBER(IF(D_I="SI",Datos!K16,Datos!K16+Datos!AE16)),IF(D_I="SI",Datos!K16,Datos!K16+Datos!AE16)," - ")</f>
        <v>1683</v>
      </c>
      <c r="G16" s="1033" t="str">
        <f>IF(Datos!E16&lt;&gt;"",Datos!E16,Datos!D16)</f>
        <v>04</v>
      </c>
      <c r="H16" s="226">
        <f>IF(ISNUMBER(IF(D_I="SI",Datos!L16,Datos!L16+Datos!AF16)),IF(D_I="SI",Datos!L16,Datos!L16+Datos!AF16)," - ")</f>
        <v>2096</v>
      </c>
      <c r="I16" s="1043" t="str">
        <f>IF(ISNUMBER(Datos!AS16/Datos!BM16),Datos!AS16/Datos!BM16," - ")</f>
        <v xml:space="preserve"> - </v>
      </c>
      <c r="J16" s="1044">
        <f>IF(ISNUMBER(Datos!BY16/Datos!CN16),Datos!BY16/Datos!CN16," - ")</f>
        <v>0</v>
      </c>
      <c r="K16" s="229">
        <f t="shared" si="3"/>
        <v>5.698436712052446E-2</v>
      </c>
      <c r="L16" s="1024">
        <f>IF(ISNUMBER(NºAsuntos!I16/NºAsuntos!G16),(NºAsuntos!I16/NºAsuntos!G16)*11," - ")</f>
        <v>13.699346405228757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145</v>
      </c>
      <c r="D17" s="224">
        <f>IF(ISNUMBER(IF(D_I="SI",Datos!I17,Datos!I17+Datos!AC17)),IF(D_I="SI",Datos!I17,Datos!I17+Datos!AC17)," - ")</f>
        <v>145</v>
      </c>
      <c r="E17" s="225">
        <f>IF(ISNUMBER(IF(D_I="SI",Datos!J17,Datos!J17+Datos!AD17)),IF(D_I="SI",Datos!J17,Datos!J17+Datos!AD17)," - ")</f>
        <v>91</v>
      </c>
      <c r="F17" s="225">
        <f>IF(ISNUMBER(IF(D_I="SI",Datos!K17,Datos!K17+Datos!AE17)),IF(D_I="SI",Datos!K17,Datos!K17+Datos!AE17)," - ")</f>
        <v>72</v>
      </c>
      <c r="G17" s="1033" t="str">
        <f>IF(Datos!E17&lt;&gt;"",Datos!E17,Datos!D17)</f>
        <v>37</v>
      </c>
      <c r="H17" s="226">
        <f>IF(ISNUMBER(IF(D_I="SI",Datos!L17,Datos!L17+Datos!AF17)),IF(D_I="SI",Datos!L17,Datos!L17+Datos!AF17)," - ")</f>
        <v>164</v>
      </c>
      <c r="I17" s="1043" t="str">
        <f>IF(ISNUMBER(Datos!AS17/Datos!BM17),Datos!AS17/Datos!BM17," - ")</f>
        <v xml:space="preserve"> - </v>
      </c>
      <c r="J17" s="1044" t="str">
        <f>IF(ISNUMBER((Datos!BY17+Datos!BZ17)/Datos!CN17),(Datos!BY17+Datos!BZ17)/Datos!CN17," - ")</f>
        <v xml:space="preserve"> - </v>
      </c>
      <c r="K17" s="229">
        <f t="shared" si="3"/>
        <v>0.1310344827586207</v>
      </c>
      <c r="L17" s="1024">
        <f>IF(ISNUMBER(NºAsuntos!I17/NºAsuntos!G17),(NºAsuntos!I17/NºAsuntos!G17)*11," - ")</f>
        <v>25.055555555555554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2128</v>
      </c>
      <c r="D18" s="1048">
        <f>SUBTOTAL(9,D15:D17)</f>
        <v>2124</v>
      </c>
      <c r="E18" s="1049">
        <f>SUBTOTAL(9,E15:E17)</f>
        <v>1887</v>
      </c>
      <c r="F18" s="1049">
        <f>SUBTOTAL(9,F15:F17)</f>
        <v>1755</v>
      </c>
      <c r="G18" s="1051" t="str">
        <f ca="1">INDIRECT(CONCATENATE("G",ROW()-1))</f>
        <v>37</v>
      </c>
      <c r="H18" s="1052">
        <f ca="1">SUMIF(G$14:G17,G18,H$14:H17)</f>
        <v>164</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2189</v>
      </c>
      <c r="D19" s="1070">
        <f>SUBTOTAL(9,D9:D18)</f>
        <v>2185</v>
      </c>
      <c r="E19" s="1071">
        <f>SUBTOTAL(9,E9:E18)</f>
        <v>1888</v>
      </c>
      <c r="F19" s="1071">
        <f>SUBTOTAL(9,F9:F18)</f>
        <v>1755</v>
      </c>
      <c r="G19" s="1072"/>
      <c r="H19" s="1073">
        <f ca="1">SUMIF(B9:B18,"TOTAL",H9:H18)</f>
        <v>164</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QC1ykqeUCD2tiKCTN6UlnZcXCftPXJxVYlyVh3cWZ/AmP8omDn04Pkj6aaWcY8ES1clrUIGv5DoONTdU5Aw9Jw==" saltValue="l5FOZUn+8R+heuyNMQCcc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WdEL9y+md6SCSk17+04a7CepySoxFyF3TX80E+bDgccoq6H/YfKD2LU3+bze7P7/66AaN408WOHO8qEPoVklYA==" saltValue="Kcd8vzJV9wKYhriUtu4Qx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61</v>
      </c>
      <c r="J10" s="180">
        <v>1</v>
      </c>
      <c r="K10" s="180">
        <v>0</v>
      </c>
      <c r="L10" s="180">
        <v>62</v>
      </c>
      <c r="M10" s="180">
        <v>0</v>
      </c>
      <c r="N10" s="180">
        <v>0</v>
      </c>
      <c r="O10" s="180">
        <v>0</v>
      </c>
      <c r="P10" s="180">
        <v>0</v>
      </c>
      <c r="Q10" s="180">
        <v>0</v>
      </c>
      <c r="R10" s="180">
        <v>65</v>
      </c>
      <c r="S10" s="180">
        <v>40</v>
      </c>
      <c r="T10" s="180">
        <v>10</v>
      </c>
      <c r="U10" s="180">
        <v>5</v>
      </c>
      <c r="V10" s="180">
        <v>45</v>
      </c>
      <c r="W10" s="180">
        <v>2</v>
      </c>
      <c r="X10" s="187">
        <v>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40</v>
      </c>
      <c r="AZ10" s="129">
        <f t="shared" si="0"/>
        <v>10</v>
      </c>
      <c r="BA10" s="129">
        <f t="shared" si="0"/>
        <v>5</v>
      </c>
      <c r="BB10" s="129">
        <f t="shared" si="0"/>
        <v>45</v>
      </c>
      <c r="BC10" s="125">
        <f t="shared" si="0"/>
        <v>2</v>
      </c>
      <c r="BD10" s="126">
        <f>IF(ISNUMBER(BA10/AZ10),BA10/AZ10," - ")</f>
        <v>0.5</v>
      </c>
      <c r="BE10" s="127">
        <f>IF(ISNUMBER(BB10/BA10),BB10/BA10, " - ")</f>
        <v>9</v>
      </c>
      <c r="BF10" s="127">
        <f>IF(ISNUMBER(BC10/BA10),BC10/BA10, " - ")</f>
        <v>0.4</v>
      </c>
      <c r="BG10" s="195">
        <f>IF(ISNUMBER((AY10+AZ10)/BA10),(AY10+AZ10)/BA10," - ")</f>
        <v>10</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3272</v>
      </c>
      <c r="J12" s="182">
        <v>728</v>
      </c>
      <c r="K12" s="182">
        <v>1195</v>
      </c>
      <c r="L12" s="182">
        <v>2849</v>
      </c>
      <c r="M12" s="182">
        <v>289</v>
      </c>
      <c r="N12" s="182">
        <v>816</v>
      </c>
      <c r="O12" s="180">
        <v>328</v>
      </c>
      <c r="P12" s="182">
        <v>415</v>
      </c>
      <c r="Q12" s="182">
        <v>215</v>
      </c>
      <c r="R12" s="182">
        <v>5777</v>
      </c>
      <c r="S12" s="182">
        <v>3277</v>
      </c>
      <c r="T12" s="182">
        <v>1066</v>
      </c>
      <c r="U12" s="182">
        <v>997</v>
      </c>
      <c r="V12" s="182">
        <v>3346</v>
      </c>
      <c r="W12" s="182">
        <v>264</v>
      </c>
      <c r="X12" s="188">
        <v>676</v>
      </c>
      <c r="Y12" s="190">
        <v>207</v>
      </c>
      <c r="Z12" s="180">
        <v>387</v>
      </c>
      <c r="AA12" s="180">
        <v>363</v>
      </c>
      <c r="AB12" s="180">
        <v>235</v>
      </c>
      <c r="AC12" s="182">
        <v>0</v>
      </c>
      <c r="AD12" s="182">
        <v>0</v>
      </c>
      <c r="AE12" s="182">
        <v>0</v>
      </c>
      <c r="AF12" s="188">
        <v>0</v>
      </c>
      <c r="AG12" s="201">
        <v>172</v>
      </c>
      <c r="AH12" s="182">
        <v>360</v>
      </c>
      <c r="AI12" s="182">
        <v>362</v>
      </c>
      <c r="AJ12" s="202">
        <v>170</v>
      </c>
      <c r="AK12" s="181">
        <v>0</v>
      </c>
      <c r="AL12" s="182">
        <v>0</v>
      </c>
      <c r="AM12" s="182">
        <v>0</v>
      </c>
      <c r="AN12" s="188">
        <v>0</v>
      </c>
      <c r="AO12" s="258">
        <v>6</v>
      </c>
      <c r="AP12" s="154">
        <v>6</v>
      </c>
      <c r="AQ12" s="154">
        <v>6</v>
      </c>
      <c r="AR12" s="153">
        <v>6</v>
      </c>
      <c r="AS12" s="339" t="s">
        <v>794</v>
      </c>
      <c r="AT12" s="202"/>
      <c r="AU12" s="201"/>
      <c r="AV12" s="202"/>
      <c r="AW12" s="201"/>
      <c r="AX12" s="202"/>
      <c r="AY12" s="126">
        <f t="shared" si="1"/>
        <v>3449</v>
      </c>
      <c r="AZ12" s="127">
        <f t="shared" si="1"/>
        <v>1426</v>
      </c>
      <c r="BA12" s="127">
        <f t="shared" si="1"/>
        <v>1359</v>
      </c>
      <c r="BB12" s="127">
        <f t="shared" si="1"/>
        <v>3516</v>
      </c>
      <c r="BC12" s="125">
        <f>IF(ISNUMBER(X12),X12," - ")</f>
        <v>676</v>
      </c>
      <c r="BD12" s="126">
        <f t="shared" si="2"/>
        <v>0.95301542776998593</v>
      </c>
      <c r="BE12" s="127">
        <f t="shared" si="3"/>
        <v>2.5871964679911699</v>
      </c>
      <c r="BF12" s="127">
        <f t="shared" si="4"/>
        <v>0.49742457689477559</v>
      </c>
      <c r="BG12" s="195">
        <f t="shared" si="5"/>
        <v>3.5871964679911699</v>
      </c>
      <c r="BH12" s="154">
        <v>6</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3333</v>
      </c>
      <c r="J13" s="183">
        <f t="shared" si="6"/>
        <v>729</v>
      </c>
      <c r="K13" s="183">
        <f t="shared" si="6"/>
        <v>1195</v>
      </c>
      <c r="L13" s="183">
        <f t="shared" si="6"/>
        <v>2911</v>
      </c>
      <c r="M13" s="183">
        <f t="shared" si="6"/>
        <v>289</v>
      </c>
      <c r="N13" s="183">
        <f t="shared" si="6"/>
        <v>816</v>
      </c>
      <c r="O13" s="183">
        <f t="shared" si="6"/>
        <v>328</v>
      </c>
      <c r="P13" s="183">
        <f t="shared" si="6"/>
        <v>415</v>
      </c>
      <c r="Q13" s="183">
        <f t="shared" si="6"/>
        <v>215</v>
      </c>
      <c r="R13" s="183">
        <f t="shared" si="6"/>
        <v>5842</v>
      </c>
      <c r="S13" s="183">
        <f t="shared" si="6"/>
        <v>3317</v>
      </c>
      <c r="T13" s="183">
        <f t="shared" si="6"/>
        <v>1076</v>
      </c>
      <c r="U13" s="183">
        <f t="shared" si="6"/>
        <v>1002</v>
      </c>
      <c r="V13" s="183">
        <f t="shared" si="6"/>
        <v>3391</v>
      </c>
      <c r="W13" s="183">
        <f t="shared" si="6"/>
        <v>266</v>
      </c>
      <c r="X13" s="183">
        <f t="shared" si="6"/>
        <v>678</v>
      </c>
      <c r="Y13" s="183">
        <f t="shared" si="6"/>
        <v>207</v>
      </c>
      <c r="Z13" s="183">
        <f t="shared" si="6"/>
        <v>387</v>
      </c>
      <c r="AA13" s="183">
        <f t="shared" si="6"/>
        <v>363</v>
      </c>
      <c r="AB13" s="183">
        <f t="shared" si="6"/>
        <v>235</v>
      </c>
      <c r="AC13" s="183">
        <f t="shared" si="6"/>
        <v>0</v>
      </c>
      <c r="AD13" s="183">
        <f t="shared" si="6"/>
        <v>0</v>
      </c>
      <c r="AE13" s="183">
        <f t="shared" si="6"/>
        <v>0</v>
      </c>
      <c r="AF13" s="183">
        <f>SUBTOTAL(9,AF9:AF12)</f>
        <v>0</v>
      </c>
      <c r="AG13" s="183">
        <f t="shared" ref="AG13:AT13" si="7">SUBTOTAL(9,AG8:AG12)</f>
        <v>172</v>
      </c>
      <c r="AH13" s="183">
        <f t="shared" si="7"/>
        <v>360</v>
      </c>
      <c r="AI13" s="183">
        <f t="shared" si="7"/>
        <v>362</v>
      </c>
      <c r="AJ13" s="183">
        <f t="shared" si="7"/>
        <v>170</v>
      </c>
      <c r="AK13" s="183">
        <f t="shared" si="7"/>
        <v>0</v>
      </c>
      <c r="AL13" s="183">
        <f t="shared" si="7"/>
        <v>0</v>
      </c>
      <c r="AM13" s="183">
        <f t="shared" si="7"/>
        <v>0</v>
      </c>
      <c r="AN13" s="183">
        <f t="shared" si="7"/>
        <v>0</v>
      </c>
      <c r="AO13" s="183">
        <f t="shared" si="7"/>
        <v>7</v>
      </c>
      <c r="AP13" s="183">
        <f t="shared" si="7"/>
        <v>6</v>
      </c>
      <c r="AQ13" s="183">
        <f t="shared" si="7"/>
        <v>6</v>
      </c>
      <c r="AR13" s="183">
        <f t="shared" si="7"/>
        <v>6</v>
      </c>
      <c r="AS13" s="183">
        <f t="shared" si="7"/>
        <v>0</v>
      </c>
      <c r="AT13" s="183">
        <f t="shared" si="7"/>
        <v>0</v>
      </c>
      <c r="AU13" s="203"/>
      <c r="AV13" s="132"/>
      <c r="AW13" s="203"/>
      <c r="AX13" s="132"/>
      <c r="AY13" s="183">
        <f>SUBTOTAL(9,AY8:AY12)</f>
        <v>3489</v>
      </c>
      <c r="AZ13" s="183">
        <f>SUBTOTAL(9,AZ8:AZ12)</f>
        <v>1436</v>
      </c>
      <c r="BA13" s="183">
        <f>SUBTOTAL(9,BA8:BA12)</f>
        <v>1364</v>
      </c>
      <c r="BB13" s="183">
        <f>SUBTOTAL(9,BB8:BB12)</f>
        <v>3561</v>
      </c>
      <c r="BC13" s="183">
        <f>SUBTOTAL(9,BC8:BC12)</f>
        <v>678</v>
      </c>
      <c r="BD13" s="204">
        <f>IF(ISNUMBER(BA13/AZ13),BA13/AZ13," - ")</f>
        <v>0.94986072423398327</v>
      </c>
      <c r="BE13" s="205">
        <f>IF(ISNUMBER(BB13/BA13),BB13/BA13, " - ")</f>
        <v>2.6107038123167157</v>
      </c>
      <c r="BF13" s="205">
        <f>IF(ISNUMBER(BC13/BA13),BC13/BA13, " - ")</f>
        <v>0.49706744868035191</v>
      </c>
      <c r="BG13" s="206">
        <f>IF(ISNUMBER((AY13+AZ13)/BA13),(AY13+AZ13)/BA13," - ")</f>
        <v>3.6107038123167157</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1979</v>
      </c>
      <c r="J16" s="182">
        <v>1796</v>
      </c>
      <c r="K16" s="182">
        <v>1683</v>
      </c>
      <c r="L16" s="182">
        <v>2096</v>
      </c>
      <c r="M16" s="182">
        <v>138</v>
      </c>
      <c r="N16" s="182">
        <v>1333</v>
      </c>
      <c r="O16" s="180">
        <v>0</v>
      </c>
      <c r="P16" s="182">
        <v>29</v>
      </c>
      <c r="Q16" s="182">
        <v>79</v>
      </c>
      <c r="R16" s="182">
        <v>426</v>
      </c>
      <c r="S16" s="182">
        <v>1780</v>
      </c>
      <c r="T16" s="182">
        <v>1677</v>
      </c>
      <c r="U16" s="182">
        <v>1548</v>
      </c>
      <c r="V16" s="182">
        <v>1913</v>
      </c>
      <c r="W16" s="182">
        <v>161</v>
      </c>
      <c r="X16" s="188">
        <v>1214</v>
      </c>
      <c r="Y16" s="201">
        <v>0</v>
      </c>
      <c r="Z16" s="182">
        <v>0</v>
      </c>
      <c r="AA16" s="182">
        <v>0</v>
      </c>
      <c r="AB16" s="182">
        <v>0</v>
      </c>
      <c r="AC16" s="182">
        <v>5</v>
      </c>
      <c r="AD16" s="182">
        <v>3</v>
      </c>
      <c r="AE16" s="182">
        <v>1</v>
      </c>
      <c r="AF16" s="188">
        <v>7</v>
      </c>
      <c r="AG16" s="201">
        <v>0</v>
      </c>
      <c r="AH16" s="182">
        <v>0</v>
      </c>
      <c r="AI16" s="182">
        <v>0</v>
      </c>
      <c r="AJ16" s="202">
        <v>0</v>
      </c>
      <c r="AK16" s="181">
        <v>2</v>
      </c>
      <c r="AL16" s="182">
        <v>3</v>
      </c>
      <c r="AM16" s="182">
        <v>0</v>
      </c>
      <c r="AN16" s="188">
        <v>5</v>
      </c>
      <c r="AO16" s="258">
        <v>6</v>
      </c>
      <c r="AP16" s="154">
        <v>6</v>
      </c>
      <c r="AQ16" s="154">
        <v>6</v>
      </c>
      <c r="AR16" s="154">
        <v>6</v>
      </c>
      <c r="AS16" s="339" t="s">
        <v>487</v>
      </c>
      <c r="AT16" s="202"/>
      <c r="AU16" s="201"/>
      <c r="AV16" s="202"/>
      <c r="AW16" s="201"/>
      <c r="AX16" s="202"/>
      <c r="AY16" s="126">
        <f t="shared" si="9"/>
        <v>1780</v>
      </c>
      <c r="AZ16" s="127">
        <f t="shared" si="9"/>
        <v>1677</v>
      </c>
      <c r="BA16" s="127">
        <f t="shared" si="9"/>
        <v>1548</v>
      </c>
      <c r="BB16" s="127">
        <f t="shared" si="9"/>
        <v>1913</v>
      </c>
      <c r="BC16" s="125">
        <f>IF(ISNUMBER(W16),W16," - ")</f>
        <v>161</v>
      </c>
      <c r="BD16" s="126">
        <f t="shared" ref="BD16" si="11">IF(ISNUMBER(BA16/AZ16),BA16/AZ16," - ")</f>
        <v>0.92307692307692313</v>
      </c>
      <c r="BE16" s="127">
        <f t="shared" ref="BE16" si="12">IF(ISNUMBER(BB16/BA16),BB16/BA16, " - ")</f>
        <v>1.2357881136950903</v>
      </c>
      <c r="BF16" s="127">
        <f t="shared" ref="BF16" si="13">IF(ISNUMBER(BC16/BA16),BC16/BA16, " - ")</f>
        <v>0.10400516795865633</v>
      </c>
      <c r="BG16" s="195">
        <f t="shared" si="10"/>
        <v>2.2332041343669249</v>
      </c>
      <c r="BH16" s="154">
        <v>6</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145</v>
      </c>
      <c r="J17" s="182">
        <v>91</v>
      </c>
      <c r="K17" s="182">
        <v>72</v>
      </c>
      <c r="L17" s="182">
        <v>164</v>
      </c>
      <c r="M17" s="182">
        <v>2</v>
      </c>
      <c r="N17" s="182">
        <v>54</v>
      </c>
      <c r="O17" s="182">
        <v>0</v>
      </c>
      <c r="P17" s="182">
        <v>0</v>
      </c>
      <c r="Q17" s="182">
        <v>0</v>
      </c>
      <c r="R17" s="182">
        <v>6</v>
      </c>
      <c r="S17" s="182">
        <v>112</v>
      </c>
      <c r="T17" s="182">
        <v>87</v>
      </c>
      <c r="U17" s="182">
        <v>58</v>
      </c>
      <c r="V17" s="182">
        <v>141</v>
      </c>
      <c r="W17" s="182">
        <v>3</v>
      </c>
      <c r="X17" s="188">
        <v>59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112</v>
      </c>
      <c r="AZ17" s="129">
        <f t="shared" si="14"/>
        <v>87</v>
      </c>
      <c r="BA17" s="129">
        <f t="shared" si="14"/>
        <v>58</v>
      </c>
      <c r="BB17" s="129">
        <f t="shared" si="14"/>
        <v>141</v>
      </c>
      <c r="BC17" s="125">
        <f>IF(ISNUMBER(W17),W17," - ")</f>
        <v>3</v>
      </c>
      <c r="BD17" s="126">
        <f>IF(ISNUMBER(BA17/AZ17),BA17/AZ17," - ")</f>
        <v>0.66666666666666663</v>
      </c>
      <c r="BE17" s="127">
        <f>IF(ISNUMBER(BB17/BA17),BB17/BA17, " - ")</f>
        <v>2.4310344827586206</v>
      </c>
      <c r="BF17" s="127">
        <f>IF(ISNUMBER(BC17/BA17),BC17/BA17, " - ")</f>
        <v>5.1724137931034482E-2</v>
      </c>
      <c r="BG17" s="195">
        <f>IF(ISNUMBER((AY17+AZ17)/BA17),(AY17+AZ17)/BA17," - ")</f>
        <v>3.4310344827586206</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2124</v>
      </c>
      <c r="J18" s="183">
        <f t="shared" si="15"/>
        <v>1887</v>
      </c>
      <c r="K18" s="183">
        <f t="shared" si="15"/>
        <v>1755</v>
      </c>
      <c r="L18" s="183">
        <f t="shared" si="15"/>
        <v>2260</v>
      </c>
      <c r="M18" s="183">
        <f t="shared" si="15"/>
        <v>140</v>
      </c>
      <c r="N18" s="183">
        <f t="shared" si="15"/>
        <v>1387</v>
      </c>
      <c r="O18" s="183">
        <f t="shared" si="15"/>
        <v>0</v>
      </c>
      <c r="P18" s="183">
        <f t="shared" si="15"/>
        <v>29</v>
      </c>
      <c r="Q18" s="183">
        <f t="shared" si="15"/>
        <v>79</v>
      </c>
      <c r="R18" s="183">
        <f t="shared" si="15"/>
        <v>432</v>
      </c>
      <c r="S18" s="183">
        <f t="shared" si="15"/>
        <v>1892</v>
      </c>
      <c r="T18" s="183">
        <f t="shared" si="15"/>
        <v>1764</v>
      </c>
      <c r="U18" s="183">
        <f t="shared" si="15"/>
        <v>1606</v>
      </c>
      <c r="V18" s="183">
        <f t="shared" si="15"/>
        <v>2054</v>
      </c>
      <c r="W18" s="183">
        <f t="shared" si="15"/>
        <v>164</v>
      </c>
      <c r="X18" s="183">
        <f t="shared" si="15"/>
        <v>1273</v>
      </c>
      <c r="Y18" s="183">
        <f t="shared" si="15"/>
        <v>0</v>
      </c>
      <c r="Z18" s="183">
        <f t="shared" si="15"/>
        <v>0</v>
      </c>
      <c r="AA18" s="183">
        <f t="shared" si="15"/>
        <v>0</v>
      </c>
      <c r="AB18" s="183">
        <f t="shared" si="15"/>
        <v>0</v>
      </c>
      <c r="AC18" s="183">
        <f t="shared" si="15"/>
        <v>5</v>
      </c>
      <c r="AD18" s="183">
        <f t="shared" si="15"/>
        <v>3</v>
      </c>
      <c r="AE18" s="183">
        <f t="shared" si="15"/>
        <v>1</v>
      </c>
      <c r="AF18" s="183">
        <f t="shared" si="15"/>
        <v>7</v>
      </c>
      <c r="AG18" s="183">
        <f t="shared" si="15"/>
        <v>0</v>
      </c>
      <c r="AH18" s="183">
        <f t="shared" si="15"/>
        <v>0</v>
      </c>
      <c r="AI18" s="183">
        <f t="shared" si="15"/>
        <v>0</v>
      </c>
      <c r="AJ18" s="183">
        <f t="shared" si="15"/>
        <v>0</v>
      </c>
      <c r="AK18" s="183">
        <f t="shared" si="15"/>
        <v>2</v>
      </c>
      <c r="AL18" s="183">
        <f t="shared" si="15"/>
        <v>3</v>
      </c>
      <c r="AM18" s="183">
        <f t="shared" si="15"/>
        <v>0</v>
      </c>
      <c r="AN18" s="183">
        <f t="shared" si="15"/>
        <v>5</v>
      </c>
      <c r="AO18" s="183">
        <f t="shared" si="15"/>
        <v>7</v>
      </c>
      <c r="AP18" s="183">
        <f t="shared" si="15"/>
        <v>6</v>
      </c>
      <c r="AQ18" s="183">
        <f t="shared" si="15"/>
        <v>6</v>
      </c>
      <c r="AR18" s="183">
        <f t="shared" si="15"/>
        <v>6</v>
      </c>
      <c r="AS18" s="183">
        <f t="shared" si="15"/>
        <v>0</v>
      </c>
      <c r="AT18" s="183">
        <f t="shared" si="15"/>
        <v>0</v>
      </c>
      <c r="AU18" s="203"/>
      <c r="AV18" s="132"/>
      <c r="AW18" s="203"/>
      <c r="AX18" s="132"/>
      <c r="AY18" s="183">
        <f>SUBTOTAL(9,AY14:AY17)</f>
        <v>1892</v>
      </c>
      <c r="AZ18" s="183">
        <f>SUBTOTAL(9,AZ14:AZ17)</f>
        <v>1764</v>
      </c>
      <c r="BA18" s="183">
        <f>SUBTOTAL(9,BA14:BA17)</f>
        <v>1606</v>
      </c>
      <c r="BB18" s="183">
        <f>SUBTOTAL(9,BB14:BB17)</f>
        <v>2054</v>
      </c>
      <c r="BC18" s="183">
        <f>SUBTOTAL(9,BC14:BC17)</f>
        <v>164</v>
      </c>
      <c r="BD18" s="204">
        <f>IF(ISNUMBER(BA18/AZ18),BA18/AZ18," - ")</f>
        <v>0.91043083900226762</v>
      </c>
      <c r="BE18" s="205">
        <f>IF(ISNUMBER(BB18/BA18),BB18/BA18, " - ")</f>
        <v>1.2789539227895392</v>
      </c>
      <c r="BF18" s="205">
        <f>IF(ISNUMBER(BC18/BA18),BC18/BA18, " - ")</f>
        <v>0.10211706102117062</v>
      </c>
      <c r="BG18" s="206">
        <f>IF(ISNUMBER((AY18+AZ18)/BA18),(AY18+AZ18)/BA18," - ")</f>
        <v>2.2764632627646328</v>
      </c>
      <c r="BH18" s="183">
        <f>SUBTOTAL(9,BH14:BH17)</f>
        <v>7</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5457</v>
      </c>
      <c r="J19" s="134">
        <f t="shared" si="18"/>
        <v>2616</v>
      </c>
      <c r="K19" s="134">
        <f t="shared" si="18"/>
        <v>2950</v>
      </c>
      <c r="L19" s="134">
        <f t="shared" si="18"/>
        <v>5171</v>
      </c>
      <c r="M19" s="134">
        <f t="shared" si="18"/>
        <v>429</v>
      </c>
      <c r="N19" s="134">
        <f t="shared" si="18"/>
        <v>2203</v>
      </c>
      <c r="O19" s="134">
        <f t="shared" si="18"/>
        <v>328</v>
      </c>
      <c r="P19" s="134">
        <f t="shared" si="18"/>
        <v>444</v>
      </c>
      <c r="Q19" s="134">
        <f t="shared" si="18"/>
        <v>294</v>
      </c>
      <c r="R19" s="134">
        <f t="shared" si="18"/>
        <v>6274</v>
      </c>
      <c r="S19" s="134">
        <f t="shared" si="18"/>
        <v>5209</v>
      </c>
      <c r="T19" s="134">
        <f t="shared" si="18"/>
        <v>2840</v>
      </c>
      <c r="U19" s="134">
        <f t="shared" si="18"/>
        <v>2608</v>
      </c>
      <c r="V19" s="134">
        <f t="shared" si="18"/>
        <v>5445</v>
      </c>
      <c r="W19" s="134">
        <f t="shared" si="18"/>
        <v>430</v>
      </c>
      <c r="X19" s="134">
        <f t="shared" si="18"/>
        <v>1951</v>
      </c>
      <c r="Y19" s="134">
        <f t="shared" si="18"/>
        <v>207</v>
      </c>
      <c r="Z19" s="134">
        <f t="shared" si="18"/>
        <v>387</v>
      </c>
      <c r="AA19" s="134">
        <f t="shared" si="18"/>
        <v>363</v>
      </c>
      <c r="AB19" s="134">
        <f t="shared" si="18"/>
        <v>235</v>
      </c>
      <c r="AC19" s="134">
        <f t="shared" si="18"/>
        <v>5</v>
      </c>
      <c r="AD19" s="134">
        <f t="shared" si="18"/>
        <v>3</v>
      </c>
      <c r="AE19" s="134">
        <f t="shared" si="18"/>
        <v>1</v>
      </c>
      <c r="AF19" s="134">
        <f t="shared" si="18"/>
        <v>7</v>
      </c>
      <c r="AG19" s="134">
        <f t="shared" si="18"/>
        <v>172</v>
      </c>
      <c r="AH19" s="134">
        <f t="shared" si="18"/>
        <v>360</v>
      </c>
      <c r="AI19" s="134">
        <f t="shared" si="18"/>
        <v>362</v>
      </c>
      <c r="AJ19" s="134">
        <f t="shared" si="18"/>
        <v>170</v>
      </c>
      <c r="AK19" s="134">
        <f t="shared" si="18"/>
        <v>2</v>
      </c>
      <c r="AL19" s="134">
        <f t="shared" si="18"/>
        <v>3</v>
      </c>
      <c r="AM19" s="134">
        <f t="shared" si="18"/>
        <v>0</v>
      </c>
      <c r="AN19" s="209">
        <f t="shared" si="18"/>
        <v>5</v>
      </c>
      <c r="AO19" s="210">
        <v>7</v>
      </c>
      <c r="AP19" s="210">
        <v>6</v>
      </c>
      <c r="AQ19" s="210">
        <v>6</v>
      </c>
      <c r="AR19" s="210">
        <v>6</v>
      </c>
      <c r="AS19" s="152">
        <f t="shared" si="18"/>
        <v>0</v>
      </c>
      <c r="AT19" s="152">
        <f t="shared" si="18"/>
        <v>0</v>
      </c>
      <c r="AU19" s="210"/>
      <c r="AV19" s="211"/>
      <c r="AW19" s="210"/>
      <c r="AX19" s="211"/>
      <c r="AY19" s="133">
        <f>SUBTOTAL(9,AY9:AY18)</f>
        <v>5381</v>
      </c>
      <c r="AZ19" s="134">
        <f>SUBTOTAL(9,AZ9:AZ18)</f>
        <v>3200</v>
      </c>
      <c r="BA19" s="134">
        <f>SUBTOTAL(9,BA9:BA18)</f>
        <v>2970</v>
      </c>
      <c r="BB19" s="134">
        <f>SUBTOTAL(9,BB9:BB18)</f>
        <v>5615</v>
      </c>
      <c r="BC19" s="135">
        <f>SUBTOTAL(9,BC9:BC18)</f>
        <v>842</v>
      </c>
      <c r="BD19" s="212">
        <f>IF(ISNUMBER(BA19/AZ19),BA19/AZ19," - ")</f>
        <v>0.92812499999999998</v>
      </c>
      <c r="BE19" s="209">
        <f>IF(ISNUMBER(BB19/BA19),BB19/BA19, " - ")</f>
        <v>1.8905723905723906</v>
      </c>
      <c r="BF19" s="209">
        <f>IF(ISNUMBER(BC19/BA19),BC19/BA19, " - ")</f>
        <v>0.28350168350168348</v>
      </c>
      <c r="BG19" s="135">
        <f>IF(ISNUMBER((AY19+AZ19)/BA19),(AY19+AZ19)/BA19," - ")</f>
        <v>2.8892255892255894</v>
      </c>
      <c r="BH19" s="210">
        <f>SUBTOTAL(9,BH9:BH18)</f>
        <v>14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D/LCbgVy3DNSabAvneNyMwPopb+eXgE+4xlr630dU8SM+un4HdWUVa8L9LTgg18wKKiFh5B/LWzpKJz/Q9CYA==" saltValue="PBUu2TpwCpTPex+S9R7b1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If+tuHts7gB2sNz4BIeTXkatYwppn9TC0zeSq7Z8AyIZ+pZY/myFdeZcB9EXh/qz1F2jJLqb7NFTQudz3ZKvw==" saltValue="7q/86SHn5t2JPztiG0Q6X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SANT BOI DE LLOBREGAT</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61</v>
      </c>
      <c r="G10" s="332">
        <f>IF(ISNUMBER(Datos!I10),Datos!I10," - ")</f>
        <v>61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62</v>
      </c>
      <c r="AG10" s="333"/>
      <c r="AH10" s="333"/>
      <c r="AI10" s="333"/>
      <c r="AJ10" s="333"/>
      <c r="AK10" s="333"/>
      <c r="AL10" s="478"/>
      <c r="AM10" s="334">
        <f>IF(ISNUMBER(Datos!R10),Datos!R10," - ")</f>
        <v>65</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6</v>
      </c>
      <c r="B12" s="506" t="s">
        <v>246</v>
      </c>
      <c r="C12" s="7" t="str">
        <f>Datos!A12</f>
        <v xml:space="preserve">Jdos. 1ª Instª. e Instr./Secc. Civil y de Inst. TI                      </v>
      </c>
      <c r="D12" s="507"/>
      <c r="E12" s="259">
        <f>IF(ISNUMBER(Datos!AQ12),Datos!AQ12," - ")</f>
        <v>6</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387</v>
      </c>
      <c r="O12" s="333"/>
      <c r="P12" s="333"/>
      <c r="Q12" s="225">
        <f>IF(ISNUMBER(Datos!P12),Datos!P12,0)</f>
        <v>415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215</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235</v>
      </c>
      <c r="AI12" s="333" t="str">
        <f>IF(ISNUMBER(Datos!CD12),Datos!CD12,"-")</f>
        <v>-</v>
      </c>
      <c r="AJ12" s="333" t="str">
        <f>IF(ISNUMBER(Datos!EN12),Datos!EN12," - ")</f>
        <v xml:space="preserve"> - </v>
      </c>
      <c r="AK12" s="333"/>
      <c r="AL12" s="478"/>
      <c r="AM12" s="334">
        <f>IF(ISNUMBER(Datos!R12),Datos!R12," - ")</f>
        <v>5777</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289</v>
      </c>
      <c r="BD12" s="228">
        <f>IF(ISNUMBER(Datos!N12),Datos!N12," - ")</f>
        <v>816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1.3973094170403588</v>
      </c>
      <c r="BH12" s="259">
        <f>IF(ISNUMBER(((IF(J_V="SI",Datos!L12/Datos!K12,(Datos!L12+Datos!AB12)/(Datos!K12+Datos!AA12)))*11)/factor_trimestre),((IF(J_V="SI",Datos!L12/Datos!K12,(Datos!L12+Datos!AB12)/(Datos!K12+Datos!AA12)))*11)/factor_trimestre," - ")</f>
        <v>3.9589216944801033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3.5861574323112787E-2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6</v>
      </c>
      <c r="F13" s="897">
        <f t="shared" si="0"/>
        <v>61</v>
      </c>
      <c r="G13" s="897">
        <f t="shared" si="0"/>
        <v>61</v>
      </c>
      <c r="H13" s="898">
        <f t="shared" si="0"/>
        <v>0</v>
      </c>
      <c r="I13" s="897">
        <f t="shared" si="0"/>
        <v>0</v>
      </c>
      <c r="J13" s="866">
        <f t="shared" si="0"/>
        <v>0</v>
      </c>
      <c r="K13" s="866">
        <f t="shared" si="0"/>
        <v>0</v>
      </c>
      <c r="L13" s="898">
        <f t="shared" si="0"/>
        <v>0</v>
      </c>
      <c r="M13" s="898">
        <f t="shared" si="0"/>
        <v>0</v>
      </c>
      <c r="N13" s="898">
        <f t="shared" si="0"/>
        <v>387</v>
      </c>
      <c r="O13" s="899">
        <f t="shared" si="0"/>
        <v>0</v>
      </c>
      <c r="P13" s="899">
        <f t="shared" si="0"/>
        <v>0</v>
      </c>
      <c r="Q13" s="898">
        <f t="shared" si="0"/>
        <v>415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215</v>
      </c>
      <c r="AD13" s="898">
        <f t="shared" si="1"/>
        <v>0</v>
      </c>
      <c r="AE13" s="898">
        <f t="shared" si="1"/>
        <v>0</v>
      </c>
      <c r="AF13" s="898">
        <f t="shared" si="1"/>
        <v>62</v>
      </c>
      <c r="AG13" s="898">
        <f t="shared" si="1"/>
        <v>0</v>
      </c>
      <c r="AH13" s="898">
        <f t="shared" si="1"/>
        <v>235</v>
      </c>
      <c r="AI13" s="898">
        <f t="shared" si="1"/>
        <v>0</v>
      </c>
      <c r="AJ13" s="898">
        <f t="shared" si="1"/>
        <v>0</v>
      </c>
      <c r="AK13" s="898">
        <f t="shared" si="1"/>
        <v>0</v>
      </c>
      <c r="AL13" s="898">
        <f t="shared" si="1"/>
        <v>0</v>
      </c>
      <c r="AM13" s="898">
        <f t="shared" si="1"/>
        <v>5842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289</v>
      </c>
      <c r="BD13" s="898">
        <f t="shared" si="1"/>
        <v>816</v>
      </c>
      <c r="BE13" s="898">
        <f t="shared" si="1"/>
        <v>0</v>
      </c>
      <c r="BF13" s="898">
        <f t="shared" si="1"/>
        <v>0</v>
      </c>
      <c r="BG13" s="898">
        <f>IF(ISNUMBER(Datos!K13/Datos!J13),Datos!K13/Datos!J13," - ")</f>
        <v>1.6392318244170097</v>
      </c>
      <c r="BH13" s="902">
        <f>IF(ISNUMBER(((Datos!L13/Datos!K13)*11)/factor_trimestre),((Datos!L13/Datos!K13)*11)/factor_trimestre," - ")</f>
        <v>4.871966527196653</v>
      </c>
      <c r="BI13" s="898">
        <f>IF(ISNUMBER('Resol  Asuntos'!D13/NºAsuntos!G13),'Resol  Asuntos'!D13/NºAsuntos!G13," - ")</f>
        <v>0.18549422336328628</v>
      </c>
      <c r="BJ13" s="898" t="str">
        <f>IF(ISNUMBER(Datos!CI13/Datos!CJ13),Datos!CI13/Datos!CJ13," - ")</f>
        <v xml:space="preserve"> - </v>
      </c>
      <c r="BK13" s="898">
        <f>SUBTOTAL(9,BK8:BK12)</f>
        <v>0</v>
      </c>
      <c r="BL13" s="898">
        <f>IF(ISNUMBER((I13-AB13+L13)/(F13)),(I13-AB13+L13)/(F13)," - ")</f>
        <v>0</v>
      </c>
      <c r="BM13" s="903">
        <f>SUBTOTAL(9,BM9:BM12)</f>
        <v>3.5861574323112787E-2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6</v>
      </c>
      <c r="B16" s="593" t="s">
        <v>396</v>
      </c>
      <c r="C16" s="599" t="str">
        <f>Datos!A16</f>
        <v xml:space="preserve">Jdos. 1ª Instª. e Instr./Secc. Civil y de Inst. TI                      </v>
      </c>
      <c r="D16" s="600"/>
      <c r="E16" s="1164">
        <f>IF(ISNUMBER(Datos!AQ16),Datos!AQ16," - ")</f>
        <v>6</v>
      </c>
      <c r="F16" s="594">
        <f>IF(ISNUMBER(AF16+AB16-Datos!J16-L16),AF16+AB16-Datos!J16-L16," - ")</f>
        <v>1983</v>
      </c>
      <c r="G16" s="597">
        <f>IF(ISNUMBER(IF(D_I="SI",Datos!I16,Datos!I16+Datos!AC16)),IF(D_I="SI",Datos!I16,Datos!I16+Datos!AC16)," - ")</f>
        <v>1979</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29</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1683</v>
      </c>
      <c r="AC16" s="225">
        <f>IF(ISNUMBER(Datos!Q16),Datos!Q16," - ")</f>
        <v>79</v>
      </c>
      <c r="AD16" s="333"/>
      <c r="AE16" s="483"/>
      <c r="AF16" s="595">
        <f>IF(ISNUMBER(IF(D_I="SI",Datos!L16,Datos!L16+Datos!AF16)),IF(D_I="SI",Datos!L16,Datos!L16+Datos!AF16)," - ")</f>
        <v>2096</v>
      </c>
      <c r="AG16" s="333"/>
      <c r="AH16" s="333"/>
      <c r="AI16" s="333"/>
      <c r="AJ16" s="333"/>
      <c r="AK16" s="333"/>
      <c r="AL16" s="478"/>
      <c r="AM16" s="334">
        <f>IF(ISNUMBER(Datos!R16),Datos!R16," - ")</f>
        <v>426</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138</v>
      </c>
      <c r="BD16" s="228">
        <f>IF(ISNUMBER(Datos!N16),Datos!N16," - ")</f>
        <v>1333</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0.93708240534521159</v>
      </c>
      <c r="BH16" s="259">
        <f>IF(ISNUMBER(((IF(D_I="SI",Datos!L16/Datos!K16,(Datos!L16+Datos!AF16)/(Datos!K16+Datos!AE16)))*11)/factor_trimestre),((IF(D_I="SI",Datos!L16/Datos!K16,(Datos!L16+Datos!AF16)/(Datos!K16+Datos!AE16)))*11)/factor_trimestre," - ")</f>
        <v>2.4907902554961376</v>
      </c>
      <c r="BI16" s="242">
        <f>IF(ISNUMBER('Resol  Asuntos'!D16/NºAsuntos!G16),'Resol  Asuntos'!D16/NºAsuntos!G16," - ")</f>
        <v>8.1996434937611412E-2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145</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72</v>
      </c>
      <c r="AC17" s="225">
        <f>IF(ISNUMBER(Datos!Q17),Datos!Q17," - ")</f>
        <v>0</v>
      </c>
      <c r="AD17" s="333"/>
      <c r="AE17" s="483"/>
      <c r="AF17" s="331">
        <f>IF(ISNUMBER(Datos!L17),Datos!L17,"-")</f>
        <v>164</v>
      </c>
      <c r="AG17" s="333"/>
      <c r="AH17" s="333"/>
      <c r="AI17" s="333"/>
      <c r="AJ17" s="333"/>
      <c r="AK17" s="333"/>
      <c r="AL17" s="478"/>
      <c r="AM17" s="334">
        <f>IF(ISNUMBER(Datos!R17),Datos!R17," - ")</f>
        <v>6</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v>
      </c>
      <c r="BD17" s="228">
        <f>IF(ISNUMBER(Datos!N17),Datos!N17," - ")</f>
        <v>54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0.79120879120879117</v>
      </c>
      <c r="BH17" s="259">
        <f>IF(ISNUMBER(((IF(D_I="SI",Datos!L17/Datos!K17,(Datos!L17+Datos!AF17)/(Datos!K17+Datos!AE17)))*11)/factor_trimestre),((IF(D_I="SI",Datos!L17/Datos!K17,(Datos!L17+Datos!AF17)/(Datos!K17+Datos!AE17)))*11)/factor_trimestre," - ")</f>
        <v>4.5555555555555554</v>
      </c>
      <c r="BI17" s="242">
        <f>IF(ISNUMBER('Resol  Asuntos'!D17/NºAsuntos!G17),'Resol  Asuntos'!D17/NºAsuntos!G17," - ")</f>
        <v>2.7777777777777776E-2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6</v>
      </c>
      <c r="F18" s="897">
        <f>SUBTOTAL(9,F15:F17)</f>
        <v>1983</v>
      </c>
      <c r="G18" s="897">
        <f>SUBTOTAL(9,G15:G17)</f>
        <v>2124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29</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1755</v>
      </c>
      <c r="AC18" s="898">
        <f t="shared" si="4"/>
        <v>79</v>
      </c>
      <c r="AD18" s="898">
        <f t="shared" si="4"/>
        <v>0</v>
      </c>
      <c r="AE18" s="898">
        <f t="shared" si="4"/>
        <v>0</v>
      </c>
      <c r="AF18" s="898">
        <f t="shared" si="4"/>
        <v>2260</v>
      </c>
      <c r="AG18" s="898">
        <f t="shared" si="4"/>
        <v>0</v>
      </c>
      <c r="AH18" s="898">
        <f t="shared" si="4"/>
        <v>0</v>
      </c>
      <c r="AI18" s="898">
        <f t="shared" si="4"/>
        <v>0</v>
      </c>
      <c r="AJ18" s="898">
        <f t="shared" si="4"/>
        <v>0</v>
      </c>
      <c r="AK18" s="898">
        <f t="shared" si="4"/>
        <v>0</v>
      </c>
      <c r="AL18" s="898">
        <f t="shared" si="4"/>
        <v>0</v>
      </c>
      <c r="AM18" s="898">
        <f t="shared" si="4"/>
        <v>432</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140</v>
      </c>
      <c r="BD18" s="898">
        <f t="shared" si="4"/>
        <v>1387</v>
      </c>
      <c r="BE18" s="898">
        <f t="shared" si="4"/>
        <v>0</v>
      </c>
      <c r="BF18" s="898">
        <f t="shared" si="4"/>
        <v>0</v>
      </c>
      <c r="BG18" s="898">
        <f>IF(ISNUMBER(Datos!K18/Datos!J18),Datos!K18/Datos!J18," - ")</f>
        <v>0.93004769475357707</v>
      </c>
      <c r="BH18" s="902">
        <f>IF(ISNUMBER(((Datos!L18/Datos!K18)*11)/factor_trimestre),((Datos!L18/Datos!K18)*11)/factor_trimestre," - ")</f>
        <v>2.5754985754985755</v>
      </c>
      <c r="BI18" s="898">
        <f>SUBTOTAL(9,BI15:BI17)</f>
        <v>0.10977421271538919</v>
      </c>
      <c r="BJ18" s="898">
        <f>SUBTOTAL(9,BJ15:BJ17)</f>
        <v>0</v>
      </c>
      <c r="BK18" s="898">
        <f>SUBTOTAL(9,BK15:BK17)</f>
        <v>0</v>
      </c>
      <c r="BL18" s="898">
        <f>IF(ISNUMBER((I18-AB18+L18)/(F18)),(I18-AB18+L18)/(F18)," - ")</f>
        <v>-0.88502269288956126</v>
      </c>
      <c r="BM18" s="904">
        <f>IF(ISNUMBER((Datos!P18-Datos!Q18)/(Datos!R18-Datos!P18+Datos!Q18)),(Datos!P18-Datos!Q18)/(Datos!R18-Datos!P18+Datos!Q18)," - ")</f>
        <v>-0.1037344398340249</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12</v>
      </c>
      <c r="F19" s="819">
        <f t="shared" si="6"/>
        <v>2044</v>
      </c>
      <c r="G19" s="819">
        <f t="shared" si="6"/>
        <v>2185</v>
      </c>
      <c r="H19" s="821">
        <f t="shared" si="6"/>
        <v>0</v>
      </c>
      <c r="I19" s="819">
        <f t="shared" si="6"/>
        <v>0</v>
      </c>
      <c r="J19" s="821">
        <f t="shared" si="6"/>
        <v>0</v>
      </c>
      <c r="K19" s="821">
        <f t="shared" si="6"/>
        <v>0</v>
      </c>
      <c r="L19" s="880">
        <f t="shared" si="6"/>
        <v>0</v>
      </c>
      <c r="M19" s="880">
        <f t="shared" si="6"/>
        <v>0</v>
      </c>
      <c r="N19" s="880">
        <f t="shared" si="6"/>
        <v>387</v>
      </c>
      <c r="O19" s="880">
        <f t="shared" si="6"/>
        <v>0</v>
      </c>
      <c r="P19" s="880">
        <f t="shared" si="6"/>
        <v>0</v>
      </c>
      <c r="Q19" s="821">
        <f t="shared" si="6"/>
        <v>444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1755</v>
      </c>
      <c r="AC19" s="820">
        <f t="shared" si="7"/>
        <v>294</v>
      </c>
      <c r="AD19" s="820">
        <f t="shared" si="7"/>
        <v>0</v>
      </c>
      <c r="AE19" s="820">
        <f t="shared" si="7"/>
        <v>0</v>
      </c>
      <c r="AF19" s="827">
        <f t="shared" si="7"/>
        <v>2322</v>
      </c>
      <c r="AG19" s="827">
        <f t="shared" si="7"/>
        <v>0</v>
      </c>
      <c r="AH19" s="827">
        <f t="shared" si="7"/>
        <v>235</v>
      </c>
      <c r="AI19" s="827">
        <f t="shared" si="7"/>
        <v>0</v>
      </c>
      <c r="AJ19" s="820">
        <f t="shared" si="7"/>
        <v>0</v>
      </c>
      <c r="AK19" s="827">
        <f t="shared" si="7"/>
        <v>0</v>
      </c>
      <c r="AL19" s="827">
        <f t="shared" si="7"/>
        <v>0</v>
      </c>
      <c r="AM19" s="827">
        <f t="shared" si="7"/>
        <v>6274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429</v>
      </c>
      <c r="BD19" s="819">
        <f t="shared" si="7"/>
        <v>2203</v>
      </c>
      <c r="BE19" s="819">
        <f t="shared" si="7"/>
        <v>0</v>
      </c>
      <c r="BF19" s="829">
        <f t="shared" si="7"/>
        <v>0</v>
      </c>
      <c r="BG19" s="914">
        <f>IF(ISNUMBER(Datos!K19/Datos!J19),Datos!K19/Datos!J19," - ")</f>
        <v>1.1276758409785932</v>
      </c>
      <c r="BH19" s="914">
        <f>IF(ISNUMBER(((Datos!L19/Datos!K19)*11)/factor_trimestre),((Datos!L19/Datos!K19)*11)/factor_trimestre," - ")</f>
        <v>3.5057627118644068</v>
      </c>
      <c r="BI19" s="812">
        <f>IF(ISNUMBER(Datos!J19/Datos!I19),Datos!J19/Datos!I19," - ")</f>
        <v>0.47938427707531611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-0.85861056751467713</v>
      </c>
      <c r="BM19" s="888">
        <f>IF(ISNUMBER((Datos!P19-Datos!Q19+R19)/(Datos!R19-Datos!P19+Datos!Q19-R19)),(Datos!P19-Datos!Q19+R19)/(Datos!R19-Datos!P19+Datos!Q19-R19)," - ")</f>
        <v>2.4493794905290661E-2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874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3.1622776601683795</v>
      </c>
      <c r="F21" s="550">
        <f>IF(ISNUMBER(STDEV(F8:F18)),STDEV(F8:F18),"-")</f>
        <v>1109.6672173824606</v>
      </c>
      <c r="G21" s="551">
        <f>IF(ISNUMBER(STDEV(G8:G18)),STDEV(G8:G18),"-")</f>
        <v>1076.6735809891502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929.20369134006353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128.83788262774269</v>
      </c>
      <c r="BD21" s="550"/>
      <c r="BE21" s="550">
        <f>IF(ISNUMBER(STDEV(BE8:BE18)),STDEV(BE8:BE18),"-")</f>
        <v>0</v>
      </c>
      <c r="BF21" s="555">
        <f>IF(ISNUMBER(STDEV(BF8:BF18)),STDEV(BF8:BF18),"-")</f>
        <v>0</v>
      </c>
      <c r="BG21" s="774">
        <f>IF(ISNUMBER(STDEV(BG8:BG18)),STDEV(BG8:BG18),"-")</f>
        <v>0.56628640461303403</v>
      </c>
      <c r="BH21" s="775">
        <f>IF(ISNUMBER(STDEV(BH8:BH18)),STDEV(BH8:BH18),"-")</f>
        <v>1.1066578188432536</v>
      </c>
      <c r="BI21" s="248">
        <f>IF(ISNUMBER(STDEV(BI8:BI18)),STDEV(BI8:BI18),"-")</f>
        <v>6.5672465370843203E-2</v>
      </c>
      <c r="BJ21" s="229" t="str">
        <f>IF(ISNUMBER(BL21/BM21),BL21/BM21," - ")</f>
        <v xml:space="preserve"> - </v>
      </c>
      <c r="BK21" s="574"/>
      <c r="BL21" s="558">
        <f>IF(ISNUMBER(STDEV(BL8:BL18)),STDEV(BL8:BL18),"-")</f>
        <v>0.62580554764618801</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QbeFynD+8XkcGDmxefBZFqQ4XHTl/pKSkxYeWUZ3kgZzWgi0NiRpUk64VyN+Se2j4tCmQqZSRhCezJ4GgfFUkg==" saltValue="0jzUOTHWcdAAYDo7ja3x0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BARCELONA  Resumenes por Partidos Judiciales  SANT BOI DE LLOBREGAT</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61</v>
      </c>
      <c r="G10" s="224">
        <f>IF(ISNUMBER(Datos!I10),Datos!I10," - ")</f>
        <v>61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62</v>
      </c>
      <c r="AB10" s="333"/>
      <c r="AC10" s="333"/>
      <c r="AD10" s="483"/>
      <c r="AE10" s="483">
        <f>IF(ISNUMBER(Datos!R10),Datos!R10," - ")</f>
        <v>65</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6</v>
      </c>
      <c r="B12" s="506" t="s">
        <v>246</v>
      </c>
      <c r="C12" s="7" t="str">
        <f>Datos!A12</f>
        <v xml:space="preserve">Jdos. 1ª Instª. e Instr./Secc. Civil y de Inst. TI                      </v>
      </c>
      <c r="D12" s="507"/>
      <c r="E12" s="1167">
        <f>IF(ISNUMBER(Datos!AQ12),Datos!AQ12," - ")</f>
        <v>6</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415</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215</v>
      </c>
      <c r="AA12" s="331" t="str">
        <f>IF(ISNUMBER(IF(J_V="SI",Datos!L12,Datos!L12+Datos!AB12)-IF(Monitorios="SI",Datos!CD12,0)),
                          IF(J_V="SI",Datos!L12,Datos!L12+Datos!AB12)-IF(Monitorios="SI",Datos!CD12,0),
                          " - ")</f>
        <v xml:space="preserve"> - </v>
      </c>
      <c r="AB12" s="333"/>
      <c r="AC12" s="333"/>
      <c r="AD12" s="483"/>
      <c r="AE12" s="483">
        <f>IF(ISNUMBER(Datos!R12),Datos!R12," - ")</f>
        <v>5777</v>
      </c>
      <c r="AF12" s="228" t="str">
        <f>IF(ISNUMBER(Datos!BV12),Datos!BV12," - ")</f>
        <v xml:space="preserve"> - </v>
      </c>
      <c r="AG12" s="224" t="str">
        <f>IF(ISNUMBER(Datos!DV12),Datos!DV12," - ")</f>
        <v xml:space="preserve"> - </v>
      </c>
      <c r="AH12" s="297"/>
      <c r="AI12" s="226"/>
      <c r="AJ12" s="224">
        <f>IF(ISNUMBER(Datos!M12),Datos!M12," - ")</f>
        <v>289</v>
      </c>
      <c r="AK12" s="228">
        <f>IF(ISNUMBER(Datos!N12),Datos!N12," - ")</f>
        <v>816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3.9589216944801033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3.5861574323112787E-2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6</v>
      </c>
      <c r="F13" s="897">
        <f>SUBTOTAL(9,F8:F12)</f>
        <v>61</v>
      </c>
      <c r="G13" s="897">
        <f>SUBTOTAL(9,G8:G12)</f>
        <v>61</v>
      </c>
      <c r="H13" s="907"/>
      <c r="I13" s="897">
        <f t="shared" ref="I13:N13" si="0">SUBTOTAL(9,I8:I12)</f>
        <v>0</v>
      </c>
      <c r="J13" s="866">
        <f t="shared" si="0"/>
        <v>0</v>
      </c>
      <c r="K13" s="907">
        <f t="shared" si="0"/>
        <v>0</v>
      </c>
      <c r="L13" s="907">
        <f t="shared" si="0"/>
        <v>0</v>
      </c>
      <c r="M13" s="907">
        <f t="shared" si="0"/>
        <v>0</v>
      </c>
      <c r="N13" s="907">
        <f t="shared" si="0"/>
        <v>415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215</v>
      </c>
      <c r="AA13" s="899">
        <f t="shared" si="2"/>
        <v>62</v>
      </c>
      <c r="AB13" s="899">
        <f t="shared" si="2"/>
        <v>0</v>
      </c>
      <c r="AC13" s="899">
        <f t="shared" si="2"/>
        <v>0</v>
      </c>
      <c r="AD13" s="899">
        <f t="shared" si="2"/>
        <v>0</v>
      </c>
      <c r="AE13" s="899">
        <f t="shared" si="2"/>
        <v>5842</v>
      </c>
      <c r="AF13" s="907">
        <f t="shared" si="2"/>
        <v>0</v>
      </c>
      <c r="AG13" s="907">
        <f t="shared" si="2"/>
        <v>0</v>
      </c>
      <c r="AH13" s="907">
        <f t="shared" si="2"/>
        <v>0</v>
      </c>
      <c r="AI13" s="907">
        <f t="shared" si="2"/>
        <v>0</v>
      </c>
      <c r="AJ13" s="907">
        <f t="shared" si="2"/>
        <v>289</v>
      </c>
      <c r="AK13" s="907">
        <f t="shared" si="2"/>
        <v>816</v>
      </c>
      <c r="AL13" s="907">
        <f t="shared" si="2"/>
        <v>0</v>
      </c>
      <c r="AM13" s="907">
        <f t="shared" si="2"/>
        <v>0</v>
      </c>
      <c r="AN13" s="907">
        <f t="shared" si="2"/>
        <v>0</v>
      </c>
      <c r="AO13" s="903">
        <f>IF(ISNUMBER(((NºAsuntos!I13/NºAsuntos!G13)*11)/factor_trimestre),((NºAsuntos!I13/NºAsuntos!G13)*11)/factor_trimestre," - ")</f>
        <v>4.038510911424904</v>
      </c>
      <c r="AP13" s="909" t="str">
        <f>IF(ISNUMBER(Datos!CI13/Datos!CJ13),Datos!CI13/Datos!CJ13," - ")</f>
        <v xml:space="preserve"> - </v>
      </c>
      <c r="AQ13" s="927">
        <f t="shared" ref="AQ13:AV13" si="3">SUBTOTAL(9,AQ9:AQ12)</f>
        <v>0</v>
      </c>
      <c r="AR13" s="927">
        <f t="shared" si="3"/>
        <v>3.5861574323112787E-2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6</v>
      </c>
      <c r="B16" s="506" t="s">
        <v>396</v>
      </c>
      <c r="C16" s="159" t="str">
        <f>Datos!A16</f>
        <v xml:space="preserve">Jdos. 1ª Instª. e Instr./Secc. Civil y de Inst. TI                      </v>
      </c>
      <c r="D16" s="501"/>
      <c r="E16" s="1167">
        <f>IF(ISNUMBER(Datos!AQ16),Datos!AQ16," - ")</f>
        <v>6</v>
      </c>
      <c r="F16" s="332">
        <f>IF(ISNUMBER(AA16+Y16-Datos!J16-K15),AA16+Y16-Datos!J16-K15," - ")</f>
        <v>1983</v>
      </c>
      <c r="G16" s="224">
        <f>IF(ISNUMBER(IF(D_I="SI",Datos!I16,Datos!I16+Datos!AC16)),IF(D_I="SI",Datos!I16,Datos!I16+Datos!AC16)," - ")</f>
        <v>1979</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29</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1683</v>
      </c>
      <c r="Z16" s="618">
        <f>IF(ISNUMBER(Datos!Q16),Datos!Q16," - ")</f>
        <v>79</v>
      </c>
      <c r="AA16" s="331">
        <f>IF(ISNUMBER(IF(D_I="SI",Datos!L16,Datos!L16+Datos!AF16)),IF(D_I="SI",Datos!L16,Datos!L16+Datos!AF16)," - ")</f>
        <v>2096</v>
      </c>
      <c r="AB16" s="333"/>
      <c r="AC16" s="333"/>
      <c r="AD16" s="483"/>
      <c r="AE16" s="483">
        <f>IF(ISNUMBER(Datos!R16),Datos!R16," - ")</f>
        <v>426</v>
      </c>
      <c r="AF16" s="228" t="str">
        <f>IF(ISNUMBER(Datos!BV16),Datos!BV16," - ")</f>
        <v xml:space="preserve"> - </v>
      </c>
      <c r="AG16" s="224"/>
      <c r="AH16" s="297"/>
      <c r="AI16" s="226"/>
      <c r="AJ16" s="224">
        <f>IF(ISNUMBER(Datos!M16),Datos!M16," - ")</f>
        <v>138</v>
      </c>
      <c r="AK16" s="228">
        <f>IF(ISNUMBER(Datos!N16),Datos!N16," - ")</f>
        <v>1333</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2.4907902554961376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145</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72</v>
      </c>
      <c r="Z17" s="618">
        <f>IF(ISNUMBER(Datos!Q17),Datos!Q17," - ")</f>
        <v>0</v>
      </c>
      <c r="AA17" s="331">
        <f>IF(ISNUMBER(Datos!L17),Datos!L17,"-")</f>
        <v>164</v>
      </c>
      <c r="AB17" s="333"/>
      <c r="AC17" s="333"/>
      <c r="AD17" s="483"/>
      <c r="AE17" s="483">
        <f>IF(ISNUMBER(Datos!R17),Datos!R17," - ")</f>
        <v>6</v>
      </c>
      <c r="AF17" s="228" t="str">
        <f>IF(ISNUMBER(Datos!BV17),Datos!BV17," - ")</f>
        <v xml:space="preserve"> - </v>
      </c>
      <c r="AG17" s="224" t="str">
        <f>IF(ISNUMBER(Datos!DV17),Datos!DV17," - ")</f>
        <v xml:space="preserve"> - </v>
      </c>
      <c r="AH17" s="297"/>
      <c r="AI17" s="226"/>
      <c r="AJ17" s="224">
        <f>IF(ISNUMBER(Datos!M17),Datos!M17," - ")</f>
        <v>2</v>
      </c>
      <c r="AK17" s="228">
        <f>IF(ISNUMBER(Datos!N17),Datos!N17," - ")</f>
        <v>54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4.5555555555555554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6</v>
      </c>
      <c r="F18" s="897">
        <f>SUBTOTAL(9,F15:F17)</f>
        <v>1983</v>
      </c>
      <c r="G18" s="897">
        <f>SUBTOTAL(9,G15:G17)</f>
        <v>2124</v>
      </c>
      <c r="H18" s="931">
        <f>SUBTOTAL(9,H15:H17)</f>
        <v>0</v>
      </c>
      <c r="I18" s="910">
        <f>SUBTOTAL(9,I15:I17)</f>
        <v>0</v>
      </c>
      <c r="J18" s="866">
        <f>SUBTOTAL(9,J14:J17)</f>
        <v>0</v>
      </c>
      <c r="K18" s="931">
        <f t="shared" ref="K18:S18" si="4">SUBTOTAL(9,K15:K17)</f>
        <v>0</v>
      </c>
      <c r="L18" s="931">
        <f t="shared" si="4"/>
        <v>0</v>
      </c>
      <c r="M18" s="931">
        <f t="shared" si="4"/>
        <v>0</v>
      </c>
      <c r="N18" s="931">
        <f t="shared" si="4"/>
        <v>29</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1755</v>
      </c>
      <c r="Z18" s="931">
        <f t="shared" si="5"/>
        <v>79</v>
      </c>
      <c r="AA18" s="931">
        <f t="shared" si="5"/>
        <v>2260</v>
      </c>
      <c r="AB18" s="931">
        <f t="shared" si="5"/>
        <v>0</v>
      </c>
      <c r="AC18" s="931">
        <f t="shared" si="5"/>
        <v>0</v>
      </c>
      <c r="AD18" s="931">
        <f t="shared" si="5"/>
        <v>0</v>
      </c>
      <c r="AE18" s="931">
        <f t="shared" si="5"/>
        <v>432</v>
      </c>
      <c r="AF18" s="931">
        <f t="shared" si="5"/>
        <v>0</v>
      </c>
      <c r="AG18" s="931">
        <f t="shared" si="5"/>
        <v>0</v>
      </c>
      <c r="AH18" s="931">
        <f t="shared" si="5"/>
        <v>0</v>
      </c>
      <c r="AI18" s="931">
        <f t="shared" si="5"/>
        <v>0</v>
      </c>
      <c r="AJ18" s="931">
        <f t="shared" si="5"/>
        <v>140</v>
      </c>
      <c r="AK18" s="931">
        <f t="shared" si="5"/>
        <v>1387</v>
      </c>
      <c r="AL18" s="931">
        <f t="shared" si="5"/>
        <v>0</v>
      </c>
      <c r="AM18" s="931">
        <f t="shared" si="5"/>
        <v>0</v>
      </c>
      <c r="AN18" s="931">
        <f t="shared" si="5"/>
        <v>0</v>
      </c>
      <c r="AO18" s="933">
        <f>IF(ISNUMBER(((NºAsuntos!I18/NºAsuntos!G18)*11)/factor_trimestre),((NºAsuntos!I18/NºAsuntos!G18)*11)/factor_trimestre," - ")</f>
        <v>2.5754985754985755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12</v>
      </c>
      <c r="F19" s="819">
        <f t="shared" si="7"/>
        <v>2044</v>
      </c>
      <c r="G19" s="819">
        <f t="shared" si="7"/>
        <v>2185</v>
      </c>
      <c r="H19" s="820">
        <f t="shared" si="7"/>
        <v>0</v>
      </c>
      <c r="I19" s="819">
        <f t="shared" si="7"/>
        <v>0</v>
      </c>
      <c r="J19" s="821">
        <f t="shared" si="7"/>
        <v>0</v>
      </c>
      <c r="K19" s="819">
        <f t="shared" si="7"/>
        <v>0</v>
      </c>
      <c r="L19" s="822">
        <f t="shared" si="7"/>
        <v>0</v>
      </c>
      <c r="M19" s="819">
        <f t="shared" si="7"/>
        <v>0</v>
      </c>
      <c r="N19" s="820">
        <f t="shared" si="7"/>
        <v>444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1755</v>
      </c>
      <c r="Z19" s="826">
        <f t="shared" si="8"/>
        <v>294</v>
      </c>
      <c r="AA19" s="827">
        <f t="shared" si="8"/>
        <v>2322</v>
      </c>
      <c r="AB19" s="827">
        <f t="shared" si="8"/>
        <v>0</v>
      </c>
      <c r="AC19" s="827">
        <f t="shared" si="8"/>
        <v>0</v>
      </c>
      <c r="AD19" s="828">
        <f t="shared" si="8"/>
        <v>0</v>
      </c>
      <c r="AE19" s="828">
        <f t="shared" si="8"/>
        <v>6274</v>
      </c>
      <c r="AF19" s="829">
        <f t="shared" si="8"/>
        <v>0</v>
      </c>
      <c r="AG19" s="830">
        <f t="shared" si="8"/>
        <v>0</v>
      </c>
      <c r="AH19" s="831">
        <f t="shared" si="8"/>
        <v>0</v>
      </c>
      <c r="AI19" s="829">
        <f t="shared" si="8"/>
        <v>0</v>
      </c>
      <c r="AJ19" s="819">
        <f t="shared" si="8"/>
        <v>429</v>
      </c>
      <c r="AK19" s="819">
        <f t="shared" si="8"/>
        <v>2203</v>
      </c>
      <c r="AL19" s="819">
        <f t="shared" si="8"/>
        <v>0</v>
      </c>
      <c r="AM19" s="832">
        <f t="shared" si="8"/>
        <v>0</v>
      </c>
      <c r="AN19" s="822">
        <f>IF(ISNUMBER(Datos!K19/Datos!J19),Datos!K19/Datos!J19," - ")</f>
        <v>1.1276758409785932</v>
      </c>
      <c r="AO19" s="822">
        <f>IF(ISNUMBER(FIND("06",Criterios!A8,1)),(IF(ISNUMBER(((Datos!R19/Datos!Q19)*11)/factor_trimestre),((Datos!R19/Datos!Q19)*11)/factor_trimestre," - ")),(IF(ISNUMBER(((Datos!L19/Datos!K19)*11)/factor_trimestre),((Datos!L19/Datos!K19)*11)/factor_trimestre," - ")))</f>
        <v>3.5057627118644068</v>
      </c>
      <c r="AP19" s="833" t="str">
        <f>IF(ISNUMBER(Datos!CI19/Datos!CJ19),Datos!CI19/Datos!CJ19," - ")</f>
        <v xml:space="preserve"> - </v>
      </c>
      <c r="AQ19" s="833">
        <f>IF(OR(ISNUMBER(FIND("01",Criterios!A8,1)),ISNUMBER(FIND("02",Criterios!A8,1)),ISNUMBER(FIND("03",Criterios!A8,1)),ISNUMBER(FIND("04",Criterios!A8,1))),(J19-Y19+K19)/(F19-K19),(I19-Y19+K19)/(F19-K19))</f>
        <v>-0.85861056751467713</v>
      </c>
      <c r="AR19" s="833">
        <f>IF(ISNUMBER((Datos!P19-Datos!Q19+O19)/(Datos!R19-Datos!P19+Datos!Q19-O19)),(Datos!P19-Datos!Q19+O19)/(Datos!R19-Datos!P19+Datos!Q19-O19)," - ")</f>
        <v>2.4493794905290661E-2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874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1109.6672173824606</v>
      </c>
      <c r="G21" s="551">
        <f>IF(ISNUMBER(STDEV(G8:G18)),STDEV(G8:G18),"-")</f>
        <v>1076.6735809891502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128.83788262774269</v>
      </c>
      <c r="AK21" s="251"/>
      <c r="AL21" s="251">
        <f>IF(ISNUMBER(STDEV(AL8:AL18)),STDEV(AL8:AL18),"-")</f>
        <v>0</v>
      </c>
      <c r="AM21" s="253">
        <f>IF(ISNUMBER(STDEV(AM8:AM18)),STDEV(AM8:AM18),"-")</f>
        <v>0</v>
      </c>
      <c r="AN21" s="538">
        <f>IF(ISNUMBER(STDEV(AN8:AN18)),STDEV(AN8:AN18),"-")</f>
        <v>0</v>
      </c>
      <c r="AO21" s="539">
        <f>IF(ISNUMBER(STDEV(AO8:AO18)),STDEV(AO8:AO18),"-")</f>
        <v>0.93342948935273695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zWhQ6/hLy99qFvVeTYk5ENUeTWDEG65Vs7z28uL6s61SybLZ1LG6yeUpPXoFIO+2Vqmk3BhiD+XvHmIof+XZcA==" saltValue="tz+cFZU/7c4FPXHcP7kMD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bhvUuhhJatEbwjSW5nVoM+OwwID5u2NgRmeBKZw5+U2nZe/Mwt8QswKxd+mK00B+/B2BKmEeH/iXQaAPc8WtdQ==" saltValue="+O9Z2pbc55z87EF3vwmKy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9qCU0bP0rgWdzOX/odhg4FGxBJJxcM44g5euiddpsKl3DjCYEQ5T75fBuc5Jd4a4F5z9ulv9tsnBM2i0dSU8Q==" saltValue="nu4dJa6gCFseqzFA+peAk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SANT BOI DE LLOBREGAT</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0.18549422336328628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0.13116422321111185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6kqtVUAqC9vEtswrcczUNeNC7OIapTmNtxpDxej7DIYbottpPJQ/DPoUB5WbFTO8LhP7BVlEOBsE6yY2fHXT4A==" saltValue="N/ptUTBRwtjheg4zJwBSa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bwmBoYF3iP7XG3pj7JyghFp/5yF+yrDTBE1rkZtr9MhygRH2iie2zcxRP2xYWrSiojEBpXTNtBsmfj5QqRRZVw==" saltValue="2tWzTCoJrEcmdVp03a20z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BARCELONA</v>
      </c>
      <c r="D3" s="374"/>
      <c r="E3" s="374"/>
      <c r="F3" s="374"/>
      <c r="BQ3" s="470"/>
    </row>
    <row r="4" spans="1:69" ht="13.5" thickBot="1">
      <c r="A4" s="374"/>
      <c r="B4" s="390" t="str">
        <f>Criterios!A11 &amp;"  "&amp;Criterios!B11</f>
        <v>Resumenes por Partidos Judiciales  SANT BOI DE LLOBREGAT</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61</v>
      </c>
      <c r="D10" s="403">
        <f>IF(ISNUMBER(C10/Datos!BH10),C10/Datos!BH10," - ")</f>
        <v>61</v>
      </c>
      <c r="E10" s="402">
        <f>IF(ISNUMBER(Datos!J10),Datos!J10," - ")</f>
        <v>1</v>
      </c>
      <c r="F10" s="403">
        <f>IF(ISNUMBER(E10/B10),E10/B10," - ")</f>
        <v>1</v>
      </c>
      <c r="G10" s="402">
        <f>IF(ISNUMBER(Datos!K10),Datos!K10," - ")</f>
        <v>0</v>
      </c>
      <c r="H10" s="403">
        <f>IF(ISNUMBER(G10/B10),G10/B10," - ")</f>
        <v>0</v>
      </c>
      <c r="I10" s="402">
        <f>IF(ISNUMBER(Datos!L10),Datos!L10," - ")</f>
        <v>62</v>
      </c>
      <c r="J10" s="403">
        <f>IF(ISNUMBER(I10/B10),I10/B10," - ")</f>
        <v>62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6</v>
      </c>
      <c r="C12" s="402">
        <f>IF(ISNUMBER(IF(J_V="SI",Datos!I12,Datos!I12+Datos!Y12)),IF(J_V="SI",Datos!I12,Datos!I12+Datos!Y12)," - ")</f>
        <v>3479</v>
      </c>
      <c r="D12" s="403">
        <f>IF(ISNUMBER(C12/Datos!BH12),C12/Datos!BH12," - ")</f>
        <v>579.83333333333337</v>
      </c>
      <c r="E12" s="402">
        <f>IF(ISNUMBER(IF(J_V="SI",Datos!J12,Datos!J12+Datos!Z12)),IF(J_V="SI",Datos!J12,Datos!J12+Datos!Z12)," - ")</f>
        <v>1115</v>
      </c>
      <c r="F12" s="403">
        <f>IF(ISNUMBER(E12/B12),E12/B12," - ")</f>
        <v>185.83333333333334</v>
      </c>
      <c r="G12" s="402">
        <f>IF(ISNUMBER(IF(J_V="SI",Datos!K12,Datos!K12+Datos!AA12)),IF(J_V="SI",Datos!K12,Datos!K12+Datos!AA12)," - ")</f>
        <v>1558</v>
      </c>
      <c r="H12" s="403">
        <f>IF(ISNUMBER(G12/B12),G12/B12," - ")</f>
        <v>259.66666666666669</v>
      </c>
      <c r="I12" s="402">
        <f>IF(ISNUMBER(IF(J_V="SI",Datos!L12,Datos!L12+Datos!AB12)),IF(J_V="SI",Datos!L12,Datos!L12+Datos!AB12)," - ")</f>
        <v>3084</v>
      </c>
      <c r="J12" s="403">
        <f>IF(ISNUMBER(I12/B12),I12/B12," - ")</f>
        <v>514</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6</v>
      </c>
      <c r="C13" s="848">
        <f>SUBTOTAL(9,C8:C12)</f>
        <v>3540</v>
      </c>
      <c r="D13" s="849" t="str">
        <f>IF(ISNUMBER(C13/Datos!BI13),C13/Datos!BI13," - ")</f>
        <v xml:space="preserve"> - </v>
      </c>
      <c r="E13" s="848">
        <f>SUBTOTAL(9,E8:E12)</f>
        <v>1116</v>
      </c>
      <c r="F13" s="849">
        <f>IF(ISNUMBER(E13/B13),E13/B13," - ")</f>
        <v>186</v>
      </c>
      <c r="G13" s="848">
        <f>SUBTOTAL(9,G8:G12)</f>
        <v>1558</v>
      </c>
      <c r="H13" s="849">
        <f>IF(ISNUMBER(G13/B13),G13/B13," - ")</f>
        <v>259.66666666666669</v>
      </c>
      <c r="I13" s="848">
        <f>SUBTOTAL(9,I8:I12)</f>
        <v>3146</v>
      </c>
      <c r="J13" s="849">
        <f>IF(ISNUMBER(I13/B13),I13/B13," - ")</f>
        <v>524.33333333333337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6</v>
      </c>
      <c r="C16" s="402">
        <f>IF(ISNUMBER(IF(D_I="SI",Datos!I16,Datos!I16+Datos!AC16)),IF(D_I="SI",Datos!I16,Datos!I16+Datos!AC16)," - ")</f>
        <v>1979</v>
      </c>
      <c r="D16" s="403">
        <f>IF(ISNUMBER(C16/Datos!BH16),C16/Datos!BH16," - ")</f>
        <v>329.83333333333331</v>
      </c>
      <c r="E16" s="402">
        <f>IF(ISNUMBER(IF(D_I="SI",Datos!J16,Datos!J16+Datos!AD16)),IF(D_I="SI",Datos!J16,Datos!J16+Datos!AD16)," - ")</f>
        <v>1796</v>
      </c>
      <c r="F16" s="403">
        <f>IF(ISNUMBER(E16/B16),E16/B16," - ")</f>
        <v>299.33333333333331</v>
      </c>
      <c r="G16" s="402">
        <f>IF(ISNUMBER(IF(D_I="SI",Datos!K16,Datos!K16+Datos!AE16)),IF(D_I="SI",Datos!K16,Datos!K16+Datos!AE16)," - ")</f>
        <v>1683</v>
      </c>
      <c r="H16" s="403">
        <f>IF(ISNUMBER(G16/B16),G16/B16," - ")</f>
        <v>280.5</v>
      </c>
      <c r="I16" s="402">
        <f>IF(ISNUMBER(IF(D_I="SI",Datos!L16,Datos!L16+Datos!AF16)),IF(D_I="SI",Datos!L16,Datos!L16+Datos!AF16)," - ")</f>
        <v>2096</v>
      </c>
      <c r="J16" s="403">
        <f>IF(ISNUMBER(I16/B16),I16/B16," - ")</f>
        <v>349.33333333333331</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145</v>
      </c>
      <c r="D17" s="403">
        <f>IF(ISNUMBER(C17/Datos!BH17),C17/Datos!BH17," - ")</f>
        <v>145</v>
      </c>
      <c r="E17" s="402">
        <f>IF(ISNUMBER(IF(D_I="SI",Datos!J17,Datos!J17+Datos!AD17)),IF(D_I="SI",Datos!J17,Datos!J17+Datos!AD17)," - ")</f>
        <v>91</v>
      </c>
      <c r="F17" s="403">
        <f>IF(ISNUMBER(E17/B17),E17/B17," - ")</f>
        <v>91</v>
      </c>
      <c r="G17" s="402">
        <f>IF(ISNUMBER(IF(D_I="SI",Datos!K17,Datos!K17+Datos!AE17)),IF(D_I="SI",Datos!K17,Datos!K17+Datos!AE17)," - ")</f>
        <v>72</v>
      </c>
      <c r="H17" s="403">
        <f>IF(ISNUMBER(G17/B17),G17/B17," - ")</f>
        <v>72</v>
      </c>
      <c r="I17" s="402">
        <f>IF(ISNUMBER(IF(D_I="SI",Datos!L17,Datos!L17+Datos!AF17)),IF(D_I="SI",Datos!L17,Datos!L17+Datos!AF17)," - ")</f>
        <v>164</v>
      </c>
      <c r="J17" s="403">
        <f>IF(ISNUMBER(I17/B17),I17/B17," - ")</f>
        <v>164</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6</v>
      </c>
      <c r="C18" s="848">
        <f>SUBTOTAL(9,C14:C17)</f>
        <v>2124</v>
      </c>
      <c r="D18" s="849" t="str">
        <f>IF(ISNUMBER(C18/Datos!BI18),C18/Datos!BI18," - ")</f>
        <v xml:space="preserve"> - </v>
      </c>
      <c r="E18" s="848">
        <f>SUBTOTAL(9,E14:E17)</f>
        <v>1887</v>
      </c>
      <c r="F18" s="849">
        <f>IF(ISNUMBER(E18/B18),E18/B18," - ")</f>
        <v>314.5</v>
      </c>
      <c r="G18" s="848">
        <f>SUBTOTAL(9,G14:G17)</f>
        <v>1755</v>
      </c>
      <c r="H18" s="849">
        <f>IF(ISNUMBER(G18/B18),G18/B18," - ")</f>
        <v>292.5</v>
      </c>
      <c r="I18" s="848">
        <f>SUBTOTAL(9,I14:I17)</f>
        <v>2260</v>
      </c>
      <c r="J18" s="849">
        <f>IF(ISNUMBER(I18/B18),I18/B18," - ")</f>
        <v>376.66666666666669</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6</v>
      </c>
      <c r="C19" s="793">
        <f>SUBTOTAL(9,C9:C18)</f>
        <v>5664</v>
      </c>
      <c r="D19" s="794" t="str">
        <f>IF(ISNUMBER(C19/Datos!BI19),C19/Datos!BI19," - ")</f>
        <v xml:space="preserve"> - </v>
      </c>
      <c r="E19" s="793">
        <f>SUBTOTAL(9,E9:E18)</f>
        <v>3003</v>
      </c>
      <c r="F19" s="794">
        <f>IF(ISNUMBER(E19/B19),E19/B19," - ")</f>
        <v>500.5</v>
      </c>
      <c r="G19" s="793">
        <f>SUBTOTAL(9,G9:G18)</f>
        <v>3313</v>
      </c>
      <c r="H19" s="794">
        <f>IF(ISNUMBER(G19/B19),G19/B19," - ")</f>
        <v>552.16666666666663</v>
      </c>
      <c r="I19" s="793">
        <f>SUBTOTAL(9,I9:I18)</f>
        <v>5406</v>
      </c>
      <c r="J19" s="794">
        <f>IF(ISNUMBER(I19/B19),I19/B19," - ")</f>
        <v>901</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Zu8nsKyXLdSNostCh2RpCdECy9ijKusGMtTkORuEdubOuRWZNpwvKsJqM8TECvkxiN4Y8k6iXI6Jkp5Oh0o1dA==" saltValue="b0Ml2jDlDMAoA+UZL+6D4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BARCELONA  Resumenes por Partidos Judiciales  SANT BOI DE LLOBREGAT</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61</v>
      </c>
      <c r="G10" s="683">
        <f>IF(ISNUMBER(Datos!I10),Datos!I10," - ")</f>
        <v>61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62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6</v>
      </c>
      <c r="B12" s="506" t="s">
        <v>246</v>
      </c>
      <c r="C12" s="7" t="str">
        <f>Datos!A12</f>
        <v xml:space="preserve">Jdos. 1ª Instª. e Instr./Secc. Civil y de Inst. TI                      </v>
      </c>
      <c r="D12" s="507"/>
      <c r="E12" s="681">
        <f>IF(ISNUMBER(Datos!AQ12),Datos!AQ12," - ")</f>
        <v>6</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415</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215</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5777</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289</v>
      </c>
      <c r="AM12" s="689">
        <f>IF(ISNUMBER(Datos!N12+DatosP!N16),Datos!N12+DatosP!N16," - ")</f>
        <v>816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3.9589216944801033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3.5861574323112787E-2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6</v>
      </c>
      <c r="F13" s="937">
        <f t="shared" si="0"/>
        <v>61</v>
      </c>
      <c r="G13" s="937">
        <f t="shared" si="0"/>
        <v>61</v>
      </c>
      <c r="H13" s="937">
        <f t="shared" si="0"/>
        <v>0</v>
      </c>
      <c r="I13" s="939">
        <f t="shared" si="0"/>
        <v>0</v>
      </c>
      <c r="J13" s="938">
        <f t="shared" si="0"/>
        <v>0</v>
      </c>
      <c r="K13" s="938">
        <f t="shared" si="0"/>
        <v>0</v>
      </c>
      <c r="L13" s="940">
        <f t="shared" si="0"/>
        <v>0</v>
      </c>
      <c r="M13" s="940">
        <f t="shared" si="0"/>
        <v>0</v>
      </c>
      <c r="N13" s="938">
        <f t="shared" si="0"/>
        <v>415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215</v>
      </c>
      <c r="AE13" s="938">
        <f t="shared" si="1"/>
        <v>0</v>
      </c>
      <c r="AF13" s="938">
        <f t="shared" si="1"/>
        <v>62</v>
      </c>
      <c r="AG13" s="938">
        <f t="shared" si="1"/>
        <v>0</v>
      </c>
      <c r="AH13" s="938">
        <f t="shared" si="1"/>
        <v>5777</v>
      </c>
      <c r="AI13" s="938">
        <f t="shared" si="1"/>
        <v>0</v>
      </c>
      <c r="AJ13" s="938">
        <f t="shared" si="1"/>
        <v>0</v>
      </c>
      <c r="AK13" s="938">
        <f t="shared" si="1"/>
        <v>0</v>
      </c>
      <c r="AL13" s="938">
        <f t="shared" si="1"/>
        <v>289</v>
      </c>
      <c r="AM13" s="938">
        <f t="shared" si="1"/>
        <v>816</v>
      </c>
      <c r="AN13" s="938">
        <f t="shared" si="1"/>
        <v>0</v>
      </c>
      <c r="AO13" s="938">
        <f t="shared" si="1"/>
        <v>0</v>
      </c>
      <c r="AP13" s="943">
        <f>IF(ISNUMBER(((Datos!L13/Datos!K13)*11)/factor_trimestre),((Datos!L13/Datos!K13)*11)/factor_trimestre," - ")</f>
        <v>4.871966527196653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v>
      </c>
      <c r="AU13" s="938" t="str">
        <f>IF(ISNUMBER((DatosP!#REF!-DatosP!#REF!+DatosP!#REF!)/(DatosP!#REF!+DatosP!#REF!-DatosP!#REF!-DatosP!#REF!)),(DatosP!#REF!-DatosP!#REF!+DatosP!#REF!)/(DatosP!#REF!+DatosP!#REF!-DatosP!#REF!-DatosP!#REF!)," - ")</f>
        <v xml:space="preserve"> - </v>
      </c>
      <c r="AV13" s="944">
        <f>SUBTOTAL(9,AV9:AV12)</f>
        <v>3.5861574323112787E-2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6</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2.5754985754985755</v>
      </c>
      <c r="AQ18" s="943">
        <f>IF(ISNUMBER(((Datos!M18/Datos!L18)*11)/factor_trimestre),((Datos!M18/Datos!L18)*11)/factor_trimestre," - ")</f>
        <v>0.1238938053097345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-0.1037344398340249</v>
      </c>
      <c r="AW18" s="945">
        <f>IF(ISNUMBER((Datos!Q18-Datos!R18)/(Datos!S18-Datos!Q18+Datos!R18)),(Datos!Q18-Datos!R18)/(Datos!S18-Datos!Q18+Datos!R18)," - ")</f>
        <v>-0.15723830734966593</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6</v>
      </c>
      <c r="F19" s="950">
        <f t="shared" si="4"/>
        <v>61</v>
      </c>
      <c r="G19" s="950">
        <f t="shared" si="4"/>
        <v>61</v>
      </c>
      <c r="H19" s="950">
        <f t="shared" si="4"/>
        <v>0</v>
      </c>
      <c r="I19" s="951">
        <f t="shared" si="4"/>
        <v>0</v>
      </c>
      <c r="J19" s="952">
        <f t="shared" si="4"/>
        <v>0</v>
      </c>
      <c r="K19" s="952">
        <f t="shared" si="4"/>
        <v>0</v>
      </c>
      <c r="L19" s="952">
        <f t="shared" si="4"/>
        <v>0</v>
      </c>
      <c r="M19" s="952">
        <f t="shared" si="4"/>
        <v>0</v>
      </c>
      <c r="N19" s="951">
        <f t="shared" si="4"/>
        <v>415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215</v>
      </c>
      <c r="AE19" s="956">
        <f t="shared" si="5"/>
        <v>0</v>
      </c>
      <c r="AF19" s="957">
        <f t="shared" si="5"/>
        <v>62</v>
      </c>
      <c r="AG19" s="957">
        <f t="shared" si="5"/>
        <v>0</v>
      </c>
      <c r="AH19" s="957">
        <f t="shared" si="5"/>
        <v>5777</v>
      </c>
      <c r="AI19" s="957">
        <f t="shared" si="5"/>
        <v>0</v>
      </c>
      <c r="AJ19" s="958">
        <f t="shared" si="5"/>
        <v>0</v>
      </c>
      <c r="AK19" s="958">
        <f t="shared" si="5"/>
        <v>0</v>
      </c>
      <c r="AL19" s="950">
        <f t="shared" si="5"/>
        <v>289</v>
      </c>
      <c r="AM19" s="950">
        <f t="shared" si="5"/>
        <v>816</v>
      </c>
      <c r="AN19" s="950">
        <f t="shared" si="5"/>
        <v>0</v>
      </c>
      <c r="AO19" s="950">
        <f t="shared" si="5"/>
        <v>0</v>
      </c>
      <c r="AP19" s="950">
        <f>IF(ISNUMBER(((Datos!L19/Datos!K19)*11)/factor_trimestre),((Datos!L19/Datos!K19)*11)/factor_trimestre," - ")</f>
        <v>3.5057627118644068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2.4493794905290661E-2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40.666666666666664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3.0983866769659336</v>
      </c>
      <c r="F21" s="735">
        <f>IF(ISNUMBER(STDEV(F8:F18)),STDEV(F8:F18),"-")</f>
        <v>35.218366420567172</v>
      </c>
      <c r="G21" s="736">
        <f>IF(ISNUMBER(STDEV(G8:G18)),STDEV(G8:G18),"-")</f>
        <v>35.218366420567172</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166.85422779580185</v>
      </c>
      <c r="AM21" s="735"/>
      <c r="AN21" s="735">
        <f>IF(ISNUMBER(STDEV(AN8:AN18)),STDEV(AN8:AN18),"-")</f>
        <v>0</v>
      </c>
      <c r="AO21" s="741">
        <f>IF(ISNUMBER(STDEV(AO8:AO18)),STDEV(AO8:AO18),"-")</f>
        <v>0</v>
      </c>
      <c r="AP21" s="778">
        <f>IF(ISNUMBER(STDEV(AP8:AP18)),STDEV(AP8:AP18),"-")</f>
        <v>1.1562349419458633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Aqllq7QbWFte6qRbSwoL3TqOVlSpP6LT9cdJ83P0tjORxWmFooh8QZ28aSLjS8mHIzVjwdAyP5yqaCuknuHogg==" saltValue="65k95ACqCkJ0lYi3/Ymj4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BARCELONA</v>
      </c>
      <c r="C3" s="414"/>
      <c r="F3" s="374"/>
      <c r="G3" s="374"/>
      <c r="H3" s="374"/>
    </row>
    <row r="4" spans="1:15" ht="13.5" thickBot="1">
      <c r="A4" s="374"/>
      <c r="B4" s="390" t="str">
        <f>Criterios!A11 &amp;"  "&amp;Criterios!B11</f>
        <v>Resumenes por Partidos Judiciales  SANT BOI DE LLOBREGAT</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6</v>
      </c>
      <c r="D12" s="402">
        <f>Datos!BK12</f>
        <v>0</v>
      </c>
      <c r="E12" s="402">
        <f>Datos!AQ12</f>
        <v>6</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6</v>
      </c>
      <c r="D16" s="402">
        <f>Datos!BK16</f>
        <v>0</v>
      </c>
      <c r="E16" s="402">
        <f>Datos!AQ16</f>
        <v>6</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TX6aErMo1kaOkRH2XOyqJJz1cd4vCn8MudLCXN7MdxWmWYLWQBtsNZtfEyz5/BEkrD55neNzjwk0nsj4irHhOw==" saltValue="FEuPzSBZr21G+2XRR6gX3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BARCELONA</v>
      </c>
      <c r="C3" s="390"/>
      <c r="D3" s="424"/>
      <c r="BZ3" s="470"/>
    </row>
    <row r="4" spans="1:78" ht="13.5" thickBot="1">
      <c r="B4" s="390" t="str">
        <f>Criterios!A11 &amp;"  "&amp;Criterios!B11</f>
        <v>Resumenes por Partidos Judiciales  SANT BOI DE LLOBREGAT</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6</v>
      </c>
      <c r="C12" s="409">
        <f>Datos!AQ12</f>
        <v>6</v>
      </c>
      <c r="D12" s="402">
        <f>IF(ISNUMBER(Datos!M12),Datos!M12," - ")</f>
        <v>289</v>
      </c>
      <c r="E12" s="403">
        <f t="shared" si="0"/>
        <v>48.166666666666664</v>
      </c>
      <c r="F12" s="402">
        <f>IF(ISNUMBER(Datos!N12),Datos!N12," - ")</f>
        <v>816</v>
      </c>
      <c r="G12" s="403">
        <f t="shared" si="1"/>
        <v>136</v>
      </c>
      <c r="H12" s="402">
        <f>IF(ISNUMBER(Datos!O12),Datos!O12," - ")</f>
        <v>328</v>
      </c>
      <c r="I12" s="403">
        <f t="shared" si="2"/>
        <v>54.666666666666664</v>
      </c>
      <c r="BZ12" s="1185">
        <f>Datos!EZ12</f>
        <v>0</v>
      </c>
    </row>
    <row r="13" spans="1:78" ht="14.25" thickTop="1" thickBot="1">
      <c r="A13" s="847" t="str">
        <f>Datos!A13</f>
        <v>TOTAL</v>
      </c>
      <c r="B13" s="848">
        <f>Datos!AP13</f>
        <v>6</v>
      </c>
      <c r="C13" s="850">
        <f>Datos!AR13</f>
        <v>6</v>
      </c>
      <c r="D13" s="848">
        <f>SUBTOTAL(9,D9:D12)</f>
        <v>289</v>
      </c>
      <c r="E13" s="849">
        <f t="shared" si="0"/>
        <v>48.166666666666664</v>
      </c>
      <c r="F13" s="848">
        <f>SUBTOTAL(9,F9:F12)</f>
        <v>816</v>
      </c>
      <c r="G13" s="849">
        <f t="shared" si="1"/>
        <v>136</v>
      </c>
      <c r="H13" s="848">
        <f>SUBTOTAL(9,H9:H12)</f>
        <v>328</v>
      </c>
      <c r="I13" s="849">
        <f>IF(ISNUMBER(H13/B13),H13/B13," - ")</f>
        <v>54.666666666666664</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6</v>
      </c>
      <c r="C16" s="427">
        <f>Datos!AQ16</f>
        <v>6</v>
      </c>
      <c r="D16" s="402">
        <f>IF(ISNUMBER(Datos!M16),Datos!M16," - ")</f>
        <v>138</v>
      </c>
      <c r="E16" s="403">
        <f t="shared" si="3"/>
        <v>23</v>
      </c>
      <c r="F16" s="402">
        <f>IF(ISNUMBER(Datos!N16),Datos!N16," - ")</f>
        <v>1333</v>
      </c>
      <c r="G16" s="403">
        <f t="shared" si="4"/>
        <v>222.16666666666666</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2</v>
      </c>
      <c r="E17" s="403">
        <f>IF(ISNUMBER(D17/B17),D17/B17," - ")</f>
        <v>2</v>
      </c>
      <c r="F17" s="402">
        <f>IF(ISNUMBER(Datos!N17),Datos!N17," - ")</f>
        <v>54</v>
      </c>
      <c r="G17" s="403">
        <f>IF(ISNUMBER(F17/B17),F17/B17," - ")</f>
        <v>54</v>
      </c>
      <c r="H17" s="402">
        <f>IF(ISNUMBER(Datos!O17),Datos!O17," - ")</f>
        <v>0</v>
      </c>
      <c r="I17" s="403">
        <f t="shared" si="5"/>
        <v>0</v>
      </c>
      <c r="BZ17" s="1185">
        <f>Datos!EZ17</f>
        <v>0</v>
      </c>
    </row>
    <row r="18" spans="1:78" ht="14.25" thickTop="1" thickBot="1">
      <c r="A18" s="847" t="str">
        <f>Datos!A18</f>
        <v>TOTAL</v>
      </c>
      <c r="B18" s="848">
        <f>Datos!AP18</f>
        <v>6</v>
      </c>
      <c r="C18" s="850">
        <f>Datos!AR18</f>
        <v>6</v>
      </c>
      <c r="D18" s="848">
        <f>SUBTOTAL(9,D15:D17)</f>
        <v>140</v>
      </c>
      <c r="E18" s="849">
        <f t="shared" si="3"/>
        <v>23.333333333333332</v>
      </c>
      <c r="F18" s="848">
        <f>SUBTOTAL(9,F15:F17)</f>
        <v>1387</v>
      </c>
      <c r="G18" s="849">
        <f t="shared" si="4"/>
        <v>231.16666666666666</v>
      </c>
      <c r="H18" s="848">
        <f>SUBTOTAL(9,H15:H17)</f>
        <v>0</v>
      </c>
      <c r="I18" s="849">
        <f>IF(ISNUMBER(H18/B18),H18/B18," - ")</f>
        <v>0</v>
      </c>
      <c r="BZ18" s="1185"/>
    </row>
    <row r="19" spans="1:78" ht="14.25" thickTop="1" thickBot="1">
      <c r="A19" s="792" t="str">
        <f>Datos!A19</f>
        <v>TOTAL JURISDICCIONES</v>
      </c>
      <c r="B19" s="793">
        <f>Datos!AP19</f>
        <v>6</v>
      </c>
      <c r="C19" s="793">
        <f>Datos!AR19</f>
        <v>6</v>
      </c>
      <c r="D19" s="793">
        <f>SUBTOTAL(9,D8:D18)</f>
        <v>429</v>
      </c>
      <c r="E19" s="794">
        <f>IF(ISNUMBER(D19/B19),D19/B19," - ")</f>
        <v>71.5</v>
      </c>
      <c r="F19" s="793">
        <f>SUBTOTAL(9,F8:F18)</f>
        <v>2203</v>
      </c>
      <c r="G19" s="794">
        <f>IF(ISNUMBER(F19/B19),F19/B19," - ")</f>
        <v>367.16666666666669</v>
      </c>
      <c r="H19" s="793">
        <f>SUBTOTAL(9,H8:H18)</f>
        <v>328</v>
      </c>
      <c r="I19" s="794">
        <f>IF(ISNUMBER(H19/B19),H19/B19," - ")</f>
        <v>54.666666666666664</v>
      </c>
    </row>
    <row r="22" spans="1:78">
      <c r="A22" s="390" t="str">
        <f>Criterios!A4</f>
        <v>Fecha Informe: 09 dic. 2025</v>
      </c>
    </row>
    <row r="27" spans="1:78">
      <c r="A27" s="413"/>
    </row>
  </sheetData>
  <sheetProtection algorithmName="SHA-512" hashValue="PApvWoGErxNB9e6d2WTgFiDKU51RskvADWMREqDeADZyFvOlLw3dMotcGWmx3ltIhSWSINpIKOANpfZQvWNlEg==" saltValue="jNik9xlD8H3/rVMJPg15I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BARCELONA</v>
      </c>
    </row>
    <row r="4" spans="1:4" ht="13.5" thickBot="1">
      <c r="B4" s="390" t="str">
        <f>Criterios!A11 &amp;"  "&amp;Criterios!B11</f>
        <v>Resumenes por Partidos Judiciales  SANT BOI DE LLOBREGAT</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65</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415</v>
      </c>
      <c r="C12" s="433">
        <f>IF(ISNUMBER(Datos!Q12),Datos!Q12," - ")</f>
        <v>215</v>
      </c>
      <c r="D12" s="407">
        <f>IF(ISNUMBER(Datos!R12),Datos!R12," - ")</f>
        <v>5777</v>
      </c>
    </row>
    <row r="13" spans="1:4" ht="14.25" thickTop="1" thickBot="1">
      <c r="A13" s="847" t="str">
        <f>Datos!A13</f>
        <v>TOTAL</v>
      </c>
      <c r="B13" s="848">
        <f>SUBTOTAL(9,B9:B12)</f>
        <v>415</v>
      </c>
      <c r="C13" s="852">
        <f>SUBTOTAL(9,C9:C12)</f>
        <v>215</v>
      </c>
      <c r="D13" s="850">
        <f>SUBTOTAL(9,D9:D12)</f>
        <v>5842</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29</v>
      </c>
      <c r="C16" s="433">
        <f>IF(ISNUMBER(Datos!Q16),Datos!Q16," - ")</f>
        <v>79</v>
      </c>
      <c r="D16" s="407">
        <f>IF(ISNUMBER(Datos!R16),Datos!R16," - ")</f>
        <v>426</v>
      </c>
    </row>
    <row r="17" spans="1:4" ht="13.5" thickBot="1">
      <c r="A17" s="401" t="str">
        <f>Datos!A17</f>
        <v>Jdos. Violencia contra la mujer/Secc Viol. TI.</v>
      </c>
      <c r="B17" s="432">
        <f>IF(ISNUMBER(Datos!P17),Datos!P17," - ")</f>
        <v>0</v>
      </c>
      <c r="C17" s="433">
        <f>IF(ISNUMBER(Datos!Q17),Datos!Q17," - ")</f>
        <v>0</v>
      </c>
      <c r="D17" s="407">
        <f>IF(ISNUMBER(Datos!R17),Datos!R17," - ")</f>
        <v>6</v>
      </c>
    </row>
    <row r="18" spans="1:4" ht="14.25" thickTop="1" thickBot="1">
      <c r="A18" s="847" t="str">
        <f>Datos!A18</f>
        <v>TOTAL</v>
      </c>
      <c r="B18" s="848">
        <f>SUBTOTAL(9,B15:B17)</f>
        <v>29</v>
      </c>
      <c r="C18" s="852">
        <f>SUBTOTAL(9,C15:C17)</f>
        <v>79</v>
      </c>
      <c r="D18" s="850">
        <f>SUBTOTAL(9,D15:D17)</f>
        <v>432</v>
      </c>
    </row>
    <row r="19" spans="1:4" ht="16.5" customHeight="1" thickTop="1" thickBot="1">
      <c r="A19" s="792" t="str">
        <f>Datos!A19</f>
        <v>TOTAL JURISDICCIONES</v>
      </c>
      <c r="B19" s="797">
        <f>SUBTOTAL(9,B8:B18)</f>
        <v>444</v>
      </c>
      <c r="C19" s="798">
        <f>SUBTOTAL(9,C8:C18)</f>
        <v>294</v>
      </c>
      <c r="D19" s="799">
        <f>SUBTOTAL(9,D8:D18)</f>
        <v>6274</v>
      </c>
    </row>
    <row r="20" spans="1:4" ht="7.5" customHeight="1"/>
    <row r="21" spans="1:4" ht="6" customHeight="1"/>
    <row r="22" spans="1:4">
      <c r="A22" s="390" t="str">
        <f>Criterios!A4</f>
        <v>Fecha Informe: 09 dic. 2025</v>
      </c>
    </row>
    <row r="27" spans="1:4">
      <c r="A27" s="413"/>
    </row>
  </sheetData>
  <sheetProtection algorithmName="SHA-512" hashValue="ymXi+XcmTsWu95oqg5PvY6GqIJpNyL5yR2iG4ZKj2KeqGduwKC/ReW5/usNAWA7XHgaWi9zI4x2JZ62gRBrp7A==" saltValue="RqRn7bSGHulVTgavTJBVk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BARCELONA</v>
      </c>
    </row>
    <row r="4" spans="1:11" ht="10.5" customHeight="1" thickBot="1">
      <c r="B4" s="390" t="str">
        <f>Criterios!A11 &amp;"  "&amp;Criterios!B11</f>
        <v>Resumenes por Partidos Judiciales  SANT BOI DE LLOBREGAT</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0.52500000000000002</v>
      </c>
      <c r="C10" s="455">
        <f>IF(ISNUMBER((Datos!J10-Datos!T10)/Datos!T10),(Datos!J10-Datos!T10)/Datos!T10," - ")</f>
        <v>-0.9</v>
      </c>
      <c r="D10" s="455">
        <f>IF(ISNUMBER((Datos!K10-Datos!U10)/Datos!U10),(Datos!K10-Datos!U10)/Datos!U10," - ")</f>
        <v>-1</v>
      </c>
      <c r="E10" s="455">
        <f>IF(ISNUMBER((Datos!L10-Datos!V10)/Datos!V10),(Datos!L10-Datos!V10)/Datos!V10," - ")</f>
        <v>0.37777777777777777</v>
      </c>
      <c r="F10" s="455">
        <f>IF(ISNUMBER((Datos!M10-Datos!W10)/Datos!W10),(Datos!M10-Datos!W10)/Datos!W10," - ")</f>
        <v>-1</v>
      </c>
      <c r="G10" s="456">
        <f>IF(ISNUMBER((Datos!N10-Datos!X10)/Datos!X10),(Datos!N10-Datos!X10)/Datos!X10," - ")</f>
        <v>-1</v>
      </c>
      <c r="H10" s="454">
        <f>IF(ISNUMBER(((NºAsuntos!G10/NºAsuntos!E10)-Datos!BD10)/Datos!BD10),((NºAsuntos!G10/NºAsuntos!E10)-Datos!BD10)/Datos!BD10," - ")</f>
        <v>-1</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8.6981733835894467E-3</v>
      </c>
      <c r="C12" s="455">
        <f>IF(ISNUMBER(
   IF(J_V="SI",(Datos!J12-Datos!T12)/Datos!T12,(Datos!J12+Datos!Z12-(Datos!T12+Datos!AH12))/(Datos!T12+Datos!AH12))
     ),IF(J_V="SI",(Datos!J12-Datos!T12)/Datos!T12,(Datos!J12+Datos!Z12-(Datos!T12+Datos!AH12))/(Datos!T12+Datos!AH12))," - ")</f>
        <v>-0.21809256661991586</v>
      </c>
      <c r="D12" s="455">
        <f>IF(ISNUMBER(
   IF(J_V="SI",(Datos!K12-Datos!U12)/Datos!U12,(Datos!K12+Datos!AA12-(Datos!U12+Datos!AI12))/(Datos!U12+Datos!AI12))
     ),IF(J_V="SI",(Datos!K12-Datos!U12)/Datos!U12,(Datos!K12+Datos!AA12-(Datos!U12+Datos!AI12))/(Datos!U12+Datos!AI12))," - ")</f>
        <v>0.14643119941133187</v>
      </c>
      <c r="E12" s="455">
        <f>IF(ISNUMBER(
   IF(J_V="SI",(Datos!L12-Datos!V12)/Datos!V12,(Datos!L12+Datos!AB12-(Datos!V12+Datos!AJ12))/(Datos!V12+Datos!AJ12))
     ),IF(J_V="SI",(Datos!L12-Datos!V12)/Datos!V12,(Datos!L12+Datos!AB12-(Datos!V12+Datos!AJ12))/(Datos!V12+Datos!AJ12))," - ")</f>
        <v>-0.12286689419795221</v>
      </c>
      <c r="F12" s="455">
        <f>IF(ISNUMBER((Datos!M12-Datos!W12)/Datos!W12),(Datos!M12-Datos!W12)/Datos!W12," - ")</f>
        <v>9.4696969696969696E-2</v>
      </c>
      <c r="G12" s="456">
        <f>IF(ISNUMBER((Datos!N12-Datos!X12)/Datos!X12),(Datos!N12-Datos!X12)/Datos!X12," - ")</f>
        <v>0.20710059171597633</v>
      </c>
      <c r="H12" s="454">
        <f>IF(ISNUMBER(((NºAsuntos!G12/NºAsuntos!E12)-Datos!BD12)/Datos!BD12),((NºAsuntos!G12/NºAsuntos!E12)-Datos!BD12)/Datos!BD12," - ")</f>
        <v>0.46619810794669003</v>
      </c>
      <c r="I12" s="455">
        <f>IF(ISNUMBER(((NºAsuntos!I12/NºAsuntos!G12)-Datos!BE12)/Datos!BE12),((NºAsuntos!I12/NºAsuntos!G12)-Datos!BE12)/Datos!BE12," - ")</f>
        <v>-0.23490122542684014</v>
      </c>
      <c r="J12" s="460">
        <f>IF(ISNUMBER((('Resol  Asuntos'!D12/NºAsuntos!G12)-Datos!BF12)/Datos!BF12),(('Resol  Asuntos'!D12/NºAsuntos!G12)-Datos!BF12)/Datos!BF12," - ")</f>
        <v>-0.62709075510250589</v>
      </c>
      <c r="K12" s="461">
        <f>IF(ISNUMBER((((NºAsuntos!C12+NºAsuntos!E12)/NºAsuntos!G12)-Datos!BG12)/Datos!BG12),(((NºAsuntos!C12+NºAsuntos!E12)/NºAsuntos!G12)-Datos!BG12)/Datos!BG12," - ")</f>
        <v>-0.17800651723116417</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1.4617368873602751E-2</v>
      </c>
      <c r="C13" s="854">
        <f>IF(ISNUMBER(
   IF(J_V="SI",(Datos!J13-Datos!T13)/Datos!T13,(Datos!J13+Datos!Z13-(Datos!T13+Datos!AH13))/(Datos!T13+Datos!AH13))
     ),IF(J_V="SI",(Datos!J13-Datos!T13)/Datos!T13,(Datos!J13+Datos!Z13-(Datos!T13+Datos!AH13))/(Datos!T13+Datos!AH13))," - ")</f>
        <v>-0.22284122562674094</v>
      </c>
      <c r="D13" s="854">
        <f>IF(ISNUMBER(
   IF(J_V="SI",(Datos!K13-Datos!U13)/Datos!U13,(Datos!K13+Datos!AA13-(Datos!U13+Datos!AI13))/(Datos!U13+Datos!AI13))
     ),IF(J_V="SI",(Datos!K13-Datos!U13)/Datos!U13,(Datos!K13+Datos!AA13-(Datos!U13+Datos!AI13))/(Datos!U13+Datos!AI13))," - ")</f>
        <v>0.14222873900293256</v>
      </c>
      <c r="E13" s="854">
        <f>IF(ISNUMBER(
   IF(J_V="SI",(Datos!L13-Datos!V13)/Datos!V13,(Datos!L13+Datos!AB13-(Datos!V13+Datos!AJ13))/(Datos!V13+Datos!AJ13))
     ),IF(J_V="SI",(Datos!L13-Datos!V13)/Datos!V13,(Datos!L13+Datos!AB13-(Datos!V13+Datos!AJ13))/(Datos!V13+Datos!AJ13))," - ")</f>
        <v>-0.11654029766919405</v>
      </c>
      <c r="F13" s="855">
        <f>IF(ISNUMBER((Datos!M13-Datos!W13)/Datos!W13),(Datos!M13-Datos!W13)/Datos!W13," - ")</f>
        <v>8.646616541353383E-2</v>
      </c>
      <c r="G13" s="856">
        <f>IF(ISNUMBER((Datos!N13-Datos!X13)/Datos!X13),(Datos!N13-Datos!X13)/Datos!X13," - ")</f>
        <v>0.20353982300884957</v>
      </c>
      <c r="H13" s="856">
        <f>IF(ISNUMBER(((NºAsuntos!G13/NºAsuntos!E13)-Datos!BD13)/Datos!BD13),((NºAsuntos!G13/NºAsuntos!E13)-Datos!BD13)/Datos!BD13," - ")</f>
        <v>0.46974952438011758</v>
      </c>
      <c r="I13" s="856">
        <f>IF(ISNUMBER(((NºAsuntos!I13/NºAsuntos!G13)-Datos!BE13)/Datos!BE13),((NºAsuntos!I13/NºAsuntos!G13)-Datos!BE13)/Datos!BE13," - ")</f>
        <v>-0.22654747498124561</v>
      </c>
      <c r="J13" s="856">
        <f>IF(ISNUMBER((('Resol  Asuntos'!D13/NºAsuntos!G13)-Datos!BF13)/Datos!BF13),(('Resol  Asuntos'!D13/NºAsuntos!G13)-Datos!BF13)/Datos!BF13," - ")</f>
        <v>-0.6268228308738607</v>
      </c>
      <c r="K13" s="856">
        <f>IF(ISNUMBER((((NºAsuntos!C13+NºAsuntos!E13)/NºAsuntos!G13)-Datos!BG13)/Datos!BG13),(((NºAsuntos!C13+NºAsuntos!E13)/NºAsuntos!G13)-Datos!BG13)/Datos!BG13," - ")</f>
        <v>-0.1723367847624509</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0.11179775280898877</v>
      </c>
      <c r="C16" s="455">
        <f>IF(ISNUMBER(
   IF(D_I="SI",(Datos!J16-Datos!T16)/Datos!T16,(Datos!J16+Datos!AD16-(Datos!T16+Datos!AL16))/(Datos!T16+Datos!AL16))
     ),IF(D_I="SI",(Datos!J16-Datos!T16)/Datos!T16,(Datos!J16+Datos!AD16-(Datos!T16+Datos!AL16))/(Datos!T16+Datos!AL16))," - ")</f>
        <v>7.0960047704233753E-2</v>
      </c>
      <c r="D16" s="455">
        <f>IF(ISNUMBER(
   IF(D_I="SI",(Datos!K16-Datos!U16)/Datos!U16,(Datos!K16+Datos!AE16-(Datos!U16+Datos!AM16))/(Datos!U16+Datos!AM16))
     ),IF(D_I="SI",(Datos!K16-Datos!U16)/Datos!U16,(Datos!K16+Datos!AE16-(Datos!U16+Datos!AM16))/(Datos!U16+Datos!AM16))," - ")</f>
        <v>8.7209302325581398E-2</v>
      </c>
      <c r="E16" s="455">
        <f>IF(ISNUMBER(
   IF(D_I="SI",(Datos!L16-Datos!V16)/Datos!V16,(Datos!L16+Datos!AF16-(Datos!V16+Datos!AN16))/(Datos!V16+Datos!AN16))
     ),IF(D_I="SI",(Datos!L16-Datos!V16)/Datos!V16,(Datos!L16+Datos!AF16-(Datos!V16+Datos!AN16))/(Datos!V16+Datos!AN16))," - ")</f>
        <v>9.566126502875065E-2</v>
      </c>
      <c r="F16" s="455">
        <f>IF(ISNUMBER((Datos!M16-Datos!W16)/Datos!W16),(Datos!M16-Datos!W16)/Datos!W16," - ")</f>
        <v>-0.14285714285714285</v>
      </c>
      <c r="G16" s="456">
        <f>IF(ISNUMBER((Datos!N16-Datos!X16)/Datos!X16),(Datos!N16-Datos!X16)/Datos!X16," - ")</f>
        <v>9.8023064250411865E-2</v>
      </c>
      <c r="H16" s="454">
        <f>IF(ISNUMBER(((NºAsuntos!G16/NºAsuntos!E16)-Datos!BD16)/Datos!BD16),((NºAsuntos!G16/NºAsuntos!E16)-Datos!BD16)/Datos!BD16," - ")</f>
        <v>1.5172605790645832E-2</v>
      </c>
      <c r="I16" s="455">
        <f>IF(ISNUMBER(((NºAsuntos!I16/NºAsuntos!G16)-Datos!BE16)/Datos!BE16),((NºAsuntos!I16/NºAsuntos!G16)-Datos!BE16)/Datos!BE16," - ")</f>
        <v>7.7739977804551427E-3</v>
      </c>
      <c r="J16" s="460">
        <f>IF(ISNUMBER((('Resol  Asuntos'!D16/NºAsuntos!G16)-Datos!BF16)/Datos!BF16),(('Resol  Asuntos'!D16/NºAsuntos!G16)-Datos!BF16)/Datos!BF16," - ")</f>
        <v>-0.21161191749427039</v>
      </c>
      <c r="K16" s="461">
        <f>IF(ISNUMBER((((NºAsuntos!C16+NºAsuntos!E16)/NºAsuntos!G16)-Datos!BG16)/Datos!BG16),(((NºAsuntos!C16+NºAsuntos!E16)/NºAsuntos!G16)-Datos!BG16)/Datos!BG16," - ")</f>
        <v>4.3947102600475005E-3</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0.29464285714285715</v>
      </c>
      <c r="C17" s="455">
        <f>IF(ISNUMBER(
   IF(D_I="SI",(Datos!J17-Datos!T17)/Datos!T17,(Datos!J17+Datos!AD17-(Datos!T17+Datos!AL17))/(Datos!T17+Datos!AL17))
     ),IF(D_I="SI",(Datos!J17-Datos!T17)/Datos!T17,(Datos!J17+Datos!AD17-(Datos!T17+Datos!AL17))/(Datos!T17+Datos!AL17))," - ")</f>
        <v>4.5977011494252873E-2</v>
      </c>
      <c r="D17" s="455">
        <f>IF(ISNUMBER(
   IF(D_I="SI",(Datos!K17-Datos!U17)/Datos!U17,(Datos!K17+Datos!AE17-(Datos!U17+Datos!AM17))/(Datos!U17+Datos!AM17))
     ),IF(D_I="SI",(Datos!K17-Datos!U17)/Datos!U17,(Datos!K17+Datos!AE17-(Datos!U17+Datos!AM17))/(Datos!U17+Datos!AM17))," - ")</f>
        <v>0.2413793103448276</v>
      </c>
      <c r="E17" s="455">
        <f>IF(ISNUMBER(
   IF(D_I="SI",(Datos!L17-Datos!V17)/Datos!V17,(Datos!L17+Datos!AF17-(Datos!V17+Datos!AN17))/(Datos!V17+Datos!AN17))
     ),IF(D_I="SI",(Datos!L17-Datos!V17)/Datos!V17,(Datos!L17+Datos!AF17-(Datos!V17+Datos!AN17))/(Datos!V17+Datos!AN17))," - ")</f>
        <v>0.16312056737588654</v>
      </c>
      <c r="F17" s="455">
        <f>IF(ISNUMBER((Datos!M17-Datos!W17)/Datos!W17),(Datos!M17-Datos!W17)/Datos!W17," - ")</f>
        <v>-0.33333333333333331</v>
      </c>
      <c r="G17" s="456">
        <f>IF(ISNUMBER((Datos!N17-Datos!X17)/Datos!X17),(Datos!N17-Datos!X17)/Datos!X17," - ")</f>
        <v>-8.4745762711864403E-2</v>
      </c>
      <c r="H17" s="454">
        <f>IF(ISNUMBER(((NºAsuntos!G17/NºAsuntos!E17)-Datos!BD17)/Datos!BD17),((NºAsuntos!G17/NºAsuntos!E17)-Datos!BD17)/Datos!BD17," - ")</f>
        <v>0.18681318681318682</v>
      </c>
      <c r="I17" s="455">
        <f>IF(ISNUMBER(((NºAsuntos!I17/NºAsuntos!G17)-Datos!BE17)/Datos!BE17),((NºAsuntos!I17/NºAsuntos!G17)-Datos!BE17)/Datos!BE17," - ")</f>
        <v>-6.3041765169424738E-2</v>
      </c>
      <c r="J17" s="460">
        <f>IF(ISNUMBER((('Resol  Asuntos'!D17/NºAsuntos!G17)-Datos!BF17)/Datos!BF17),(('Resol  Asuntos'!D17/NºAsuntos!G17)-Datos!BF17)/Datos!BF17," - ")</f>
        <v>-0.46296296296296297</v>
      </c>
      <c r="K17" s="461">
        <f>IF(ISNUMBER((((NºAsuntos!C17+NºAsuntos!E17)/NºAsuntos!G17)-Datos!BG17)/Datos!BG17),(((NºAsuntos!C17+NºAsuntos!E17)/NºAsuntos!G17)-Datos!BG17)/Datos!BG17," - ")</f>
        <v>-4.4667783361250692E-2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0.1226215644820296</v>
      </c>
      <c r="C18" s="854">
        <f>IF(ISNUMBER(
   IF(Criterios!B14="SI",(Datos!J18-Datos!T18)/Datos!T18,(Datos!J18+Datos!AD18-(Datos!T18+Datos!AL18))/(Datos!T18+Datos!AL18))
     ),IF(Criterios!B14="SI",(Datos!J18-Datos!T18)/Datos!T18,(Datos!J18+Datos!AD18-(Datos!T18+Datos!AL18))/(Datos!T18+Datos!AL18))," - ")</f>
        <v>6.9727891156462579E-2</v>
      </c>
      <c r="D18" s="854">
        <f>IF(ISNUMBER(
   IF(Criterios!B14="SI",(Datos!K18-Datos!U18)/Datos!U18,(Datos!K18+Datos!AE18-(Datos!U18+Datos!AM18))/(Datos!U18+Datos!AM18))
     ),IF(Criterios!B14="SI",(Datos!K18-Datos!U18)/Datos!U18,(Datos!K18+Datos!AE18-(Datos!U18+Datos!AM18))/(Datos!U18+Datos!AM18))," - ")</f>
        <v>9.2777085927770855E-2</v>
      </c>
      <c r="E18" s="854">
        <f>IF(ISNUMBER(
   IF(Criterios!B14="SI",(Datos!L18-Datos!V18)/Datos!V18,(Datos!L18+Datos!AF18-(Datos!V18+Datos!AN18))/(Datos!V18+Datos!AN18))
     ),IF(Criterios!B14="SI",(Datos!L18-Datos!V18)/Datos!V18,(Datos!L18+Datos!AF18-(Datos!V18+Datos!AN18))/(Datos!V18+Datos!AN18))," - ")</f>
        <v>0.10029211295034079</v>
      </c>
      <c r="F18" s="855">
        <f>IF(ISNUMBER((Datos!M18-Datos!W18)/Datos!W18),(Datos!M18-Datos!W18)/Datos!W18," - ")</f>
        <v>-0.14634146341463414</v>
      </c>
      <c r="G18" s="856">
        <f>IF(ISNUMBER((Datos!N18-Datos!X18)/Datos!X18),(Datos!N18-Datos!X18)/Datos!X18," - ")</f>
        <v>8.9552238805970144E-2</v>
      </c>
      <c r="H18" s="856">
        <f>IF(ISNUMBER(((NºAsuntos!G18/NºAsuntos!E18)-Datos!BD18)/Datos!BD18),((NºAsuntos!G18/NºAsuntos!E18)-Datos!BD18)/Datos!BD18," - ")</f>
        <v>2.1546783029458196E-2</v>
      </c>
      <c r="I18" s="856">
        <f>IF(ISNUMBER(((NºAsuntos!I18/NºAsuntos!G18)-Datos!BE18)/Datos!BE18),((NºAsuntos!I18/NºAsuntos!G18)-Datos!BE18)/Datos!BE18," - ")</f>
        <v>6.8769990873204191E-3</v>
      </c>
      <c r="J18" s="856">
        <f>IF(ISNUMBER((('Resol  Asuntos'!D18/NºAsuntos!G18)-Datos!BF18)/Datos!BF18),(('Resol  Asuntos'!D18/NºAsuntos!G18)-Datos!BF18)/Datos!BF18," - ")</f>
        <v>-0.21881731637829205</v>
      </c>
      <c r="K18" s="856">
        <f>IF(ISNUMBER((((NºAsuntos!C18+NºAsuntos!E18)/NºAsuntos!G18)-Datos!BG18)/Datos!BG18),(((NºAsuntos!C18+NºAsuntos!E18)/NºAsuntos!G18)-Datos!BG18)/Datos!BG18," - ")</f>
        <v>3.9564981578109172E-3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5.259245493402713E-2</v>
      </c>
      <c r="C19" s="801">
        <f>IF(ISNUMBER(
   IF(J_V="SI",(Datos!J19-Datos!T19)/Datos!T19,(Datos!J19+Datos!Z19-(Datos!T19+Datos!AH19))/(Datos!T19+Datos!AH19))
     ),IF(J_V="SI",(Datos!J19-Datos!T19)/Datos!T19,(Datos!J19+Datos!Z19-(Datos!T19+Datos!AH19))/(Datos!T19+Datos!AH19))," - ")</f>
        <v>-6.1562499999999999E-2</v>
      </c>
      <c r="D19" s="801">
        <f>IF(ISNUMBER(
   IF(J_V="SI",(Datos!K19-Datos!U19)/Datos!U19,(Datos!K19+Datos!AA19-(Datos!U19+Datos!AI19))/(Datos!U19+Datos!AI19))
     ),IF(J_V="SI",(Datos!K19-Datos!U19)/Datos!U19,(Datos!K19+Datos!AA19-(Datos!U19+Datos!AI19))/(Datos!U19+Datos!AI19))," - ")</f>
        <v>0.11548821548821549</v>
      </c>
      <c r="E19" s="801">
        <f>IF(ISNUMBER(
   IF(J_V="SI",(Datos!L19-Datos!V19)/Datos!V19,(Datos!L19+Datos!AB19-(Datos!V19+Datos!AJ19))/(Datos!V19+Datos!AJ19))
     ),IF(J_V="SI",(Datos!L19-Datos!V19)/Datos!V19,(Datos!L19+Datos!AB19-(Datos!V19+Datos!AJ19))/(Datos!V19+Datos!AJ19))," - ")</f>
        <v>-3.722172751558326E-2</v>
      </c>
      <c r="F19" s="802">
        <f>IF(ISNUMBER((Datos!M19-Datos!W19)/Datos!W19),(Datos!M19-Datos!W19)/Datos!W19," - ")</f>
        <v>-2.3255813953488372E-3</v>
      </c>
      <c r="G19" s="803">
        <f>IF(ISNUMBER((Datos!N19-Datos!X19)/Datos!X19),(Datos!N19-Datos!X19)/Datos!X19," - ")</f>
        <v>0.1291645310097386</v>
      </c>
      <c r="H19" s="804">
        <f>IF(ISNUMBER((Tasas!B19-Datos!BD19)/Datos!BD19),(Tasas!B19-Datos!BD19)/Datos!BD19," - ")</f>
        <v>0.1886654310896736</v>
      </c>
      <c r="I19" s="805">
        <f>IF(ISNUMBER((Tasas!C19-Datos!BE19)/Datos!BE19),(Tasas!C19-Datos!BE19)/Datos!BE19," - ")</f>
        <v>-0.13689964706347191</v>
      </c>
      <c r="J19" s="806">
        <f>IF(ISNUMBER((Tasas!D19-Datos!BF19)/Datos!BF19),(Tasas!D19-Datos!BF19)/Datos!BF19," - ")</f>
        <v>-0.54324825616784955</v>
      </c>
      <c r="K19" s="806">
        <f>IF(ISNUMBER((Tasas!E19-Datos!BG19)/Datos!BG19),(Tasas!E19-Datos!BG19)/Datos!BG19," - ")</f>
        <v>-9.4547008280636627E-2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PPwG5AB5FLepD1AIjwc3uqnWngQiwBE0BHZG4YtogR4i0c1S6Ky2vye6pwfLM/bWSfGWAGMCE84suQF25nE+4w==" saltValue="zs7QqDlhWEWVyZYAw1YNL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BARCELONA</v>
      </c>
    </row>
    <row r="4" spans="1:7" ht="11.25" customHeight="1" thickBot="1">
      <c r="B4" s="390" t="str">
        <f>Criterios!A11 &amp;"  "&amp;Criterios!B11</f>
        <v>Resumenes por Partidos Judiciales  SANT BOI DE LLOBREGAT</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1.3973094170403588</v>
      </c>
      <c r="C12" s="442">
        <f>IF(ISNUMBER(NºAsuntos!I12/NºAsuntos!G12),NºAsuntos!I12/NºAsuntos!G12," - ")</f>
        <v>1.9794608472400514</v>
      </c>
      <c r="D12" s="443">
        <f>IF(ISNUMBER('Resol  Asuntos'!D12/NºAsuntos!G12),'Resol  Asuntos'!D12/NºAsuntos!G12," - ")</f>
        <v>0.18549422336328628</v>
      </c>
      <c r="E12" s="444">
        <f>IF(ISNUMBER((NºAsuntos!C12+NºAsuntos!E12)/NºAsuntos!G12),(NºAsuntos!C12+NºAsuntos!E12)/NºAsuntos!G12," - ")</f>
        <v>2.9486521181001284</v>
      </c>
      <c r="G12" s="462"/>
    </row>
    <row r="13" spans="1:7" ht="14.25" thickTop="1" thickBot="1">
      <c r="A13" s="847" t="str">
        <f>Datos!A13</f>
        <v>TOTAL</v>
      </c>
      <c r="B13" s="857">
        <f>IF(ISNUMBER(NºAsuntos!G13/NºAsuntos!E13),NºAsuntos!G13/NºAsuntos!E13," - ")</f>
        <v>1.3960573476702509</v>
      </c>
      <c r="C13" s="858">
        <f>IF(ISNUMBER(NºAsuntos!I13/NºAsuntos!G13),NºAsuntos!I13/NºAsuntos!G13," - ")</f>
        <v>2.019255455712452</v>
      </c>
      <c r="D13" s="859">
        <f>IF(ISNUMBER('Resol  Asuntos'!D13/NºAsuntos!G13),'Resol  Asuntos'!D13/NºAsuntos!G13," - ")</f>
        <v>0.18549422336328628</v>
      </c>
      <c r="E13" s="860">
        <f>IF(ISNUMBER((NºAsuntos!C13+NºAsuntos!E13)/NºAsuntos!G13),(NºAsuntos!C13+NºAsuntos!E13)/NºAsuntos!G13," - ")</f>
        <v>2.988446726572529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0.93708240534521159</v>
      </c>
      <c r="C16" s="442">
        <f>IF(ISNUMBER(NºAsuntos!I16/NºAsuntos!G16),NºAsuntos!I16/NºAsuntos!G16," - ")</f>
        <v>1.2453951277480688</v>
      </c>
      <c r="D16" s="443">
        <f>IF(ISNUMBER('Resol  Asuntos'!D16/NºAsuntos!G16),'Resol  Asuntos'!D16/NºAsuntos!G16," - ")</f>
        <v>8.1996434937611412E-2</v>
      </c>
      <c r="E16" s="444">
        <f>IF(ISNUMBER((NºAsuntos!C16+NºAsuntos!E16)/NºAsuntos!G16),(NºAsuntos!C16+NºAsuntos!E16)/NºAsuntos!G16," - ")</f>
        <v>2.2430184194890077</v>
      </c>
      <c r="G16" s="462"/>
    </row>
    <row r="17" spans="1:7" ht="21.75" thickBot="1">
      <c r="A17" s="401" t="str">
        <f>Datos!A17</f>
        <v>Jdos. Violencia contra la mujer/Secc Viol. TI.</v>
      </c>
      <c r="B17" s="441">
        <f>IF(ISNUMBER(NºAsuntos!G17/NºAsuntos!E17),NºAsuntos!G17/NºAsuntos!E17," - ")</f>
        <v>0.79120879120879117</v>
      </c>
      <c r="C17" s="442">
        <f>IF(ISNUMBER(NºAsuntos!I17/NºAsuntos!G17),NºAsuntos!I17/NºAsuntos!G17," - ")</f>
        <v>2.2777777777777777</v>
      </c>
      <c r="D17" s="443">
        <f>IF(ISNUMBER('Resol  Asuntos'!D17/NºAsuntos!G17),'Resol  Asuntos'!D17/NºAsuntos!G17," - ")</f>
        <v>2.7777777777777776E-2</v>
      </c>
      <c r="E17" s="444">
        <f>IF(ISNUMBER((NºAsuntos!C17+NºAsuntos!E17)/NºAsuntos!G17),(NºAsuntos!C17+NºAsuntos!E17)/NºAsuntos!G17," - ")</f>
        <v>3.2777777777777777</v>
      </c>
      <c r="G17" s="462"/>
    </row>
    <row r="18" spans="1:7" ht="14.25" thickTop="1" thickBot="1">
      <c r="A18" s="847" t="str">
        <f>Datos!A18</f>
        <v>TOTAL</v>
      </c>
      <c r="B18" s="857">
        <f>IF(ISNUMBER(NºAsuntos!G18/NºAsuntos!E18),NºAsuntos!G18/NºAsuntos!E18," - ")</f>
        <v>0.93004769475357707</v>
      </c>
      <c r="C18" s="858">
        <f>IF(ISNUMBER(NºAsuntos!I18/NºAsuntos!G18),NºAsuntos!I18/NºAsuntos!G18," - ")</f>
        <v>1.2877492877492878</v>
      </c>
      <c r="D18" s="861">
        <f>IF(ISNUMBER('Resol  Asuntos'!D18/NºAsuntos!G18),'Resol  Asuntos'!D18/NºAsuntos!G18," - ")</f>
        <v>7.9772079772079771E-2</v>
      </c>
      <c r="E18" s="860">
        <f>IF(ISNUMBER((NºAsuntos!C18+NºAsuntos!E18)/NºAsuntos!G18),(NºAsuntos!C18+NºAsuntos!E18)/NºAsuntos!G18," - ")</f>
        <v>2.2854700854700853</v>
      </c>
      <c r="G18" s="462"/>
    </row>
    <row r="19" spans="1:7" ht="15.75" customHeight="1" thickTop="1" thickBot="1">
      <c r="A19" s="792" t="str">
        <f>Datos!A19</f>
        <v>TOTAL JURISDICCIONES</v>
      </c>
      <c r="B19" s="807">
        <f>IF(ISNUMBER(NºAsuntos!G19/NºAsuntos!E19),NºAsuntos!G19/NºAsuntos!E19," - ")</f>
        <v>1.1032301032301033</v>
      </c>
      <c r="C19" s="808">
        <f>IF(ISNUMBER(NºAsuntos!I19/NºAsuntos!G19),NºAsuntos!I19/NºAsuntos!G19," - ")</f>
        <v>1.6317536975550859</v>
      </c>
      <c r="D19" s="809">
        <f>IF(ISNUMBER('Resol  Asuntos'!D19/NºAsuntos!G19),'Resol  Asuntos'!D19/NºAsuntos!G19," - ")</f>
        <v>0.12948988831874433</v>
      </c>
      <c r="E19" s="810">
        <f>IF(ISNUMBER((NºAsuntos!C19+NºAsuntos!E19)/NºAsuntos!G19),(NºAsuntos!C19+NºAsuntos!E19)/NºAsuntos!G19," - ")</f>
        <v>2.6160579535164503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l8N7AP6d44NwLxvH7RplvMx/KqTTpy7w9n161gHOJ8FWeqJgXa/8B3tt/jW5/HSTnJI7Tnm7lCVKArIjkajAog==" saltValue="9QmeU19uq3SY5dayxAsrH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BARCELONA</v>
      </c>
      <c r="N2" s="261" t="str">
        <f>Criterios!A11 &amp;"  "&amp;Criterios!B11</f>
        <v>Resumenes por Partidos Judiciales  SANT BOI DE LLOBREGAT</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61</v>
      </c>
      <c r="G10" s="332">
        <f>IF(ISNUMBER(Datos!I10),Datos!I10," - ")</f>
        <v>61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62</v>
      </c>
      <c r="AB10" s="333">
        <f>IF(ISNUMBER(Datos!R10),Datos!R10," - ")</f>
        <v>65</v>
      </c>
      <c r="AC10" s="333">
        <f t="shared" ref="AC10:AC12" si="1">IF(ISNUMBER(AA10+AB10),AA10+AB10," - ")</f>
        <v>127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6</v>
      </c>
      <c r="B12" s="274" t="s">
        <v>246</v>
      </c>
      <c r="C12" s="7" t="str">
        <f>Datos!A12</f>
        <v xml:space="preserve">Jdos. 1ª Instª. e Instr./Secc. Civil y de Inst. TI                      </v>
      </c>
      <c r="D12" s="7"/>
      <c r="E12" s="1024">
        <f>IF(ISNUMBER(Datos!AQ12),Datos!AQ12," - ")</f>
        <v>6</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415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215</v>
      </c>
      <c r="Y12" s="333">
        <f t="shared" si="0"/>
        <v>215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5777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289</v>
      </c>
      <c r="AJ12" s="228" t="str">
        <f>IF(ISNUMBER(Datos!BW12),Datos!BW12," - ")</f>
        <v xml:space="preserve"> - </v>
      </c>
      <c r="AK12" s="227" t="str">
        <f>IF(ISNUMBER(Datos!BX12),Datos!BX12," - ")</f>
        <v xml:space="preserve"> - </v>
      </c>
      <c r="AL12" s="242">
        <f>IF(ISNUMBER(NºAsuntos!G12/NºAsuntos!E12),NºAsuntos!G12/NºAsuntos!E12," - ")</f>
        <v>1.3973094170403588</v>
      </c>
      <c r="AM12" s="259">
        <f>IF(ISNUMBER(((NºAsuntos!I12/NºAsuntos!G12)*11)/factor_trimestre),((NºAsuntos!I12/NºAsuntos!G12)*11)/factor_trimestre," - ")</f>
        <v>3.9589216944801033</v>
      </c>
      <c r="AN12" s="243">
        <f>IF(ISNUMBER('Resol  Asuntos'!D12/NºAsuntos!G12),'Resol  Asuntos'!D12/NºAsuntos!G12," - ")</f>
        <v>0.18549422336328628</v>
      </c>
      <c r="AO12" s="244">
        <f>IF(ISNUMBER((NºAsuntos!C12+NºAsuntos!E12)/NºAsuntos!G12),(NºAsuntos!C12+NºAsuntos!E12)/NºAsuntos!G12," - ")</f>
        <v>2.9486521181001284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6</v>
      </c>
      <c r="F13" s="864">
        <f t="shared" si="3"/>
        <v>61</v>
      </c>
      <c r="G13" s="865">
        <f t="shared" si="3"/>
        <v>61</v>
      </c>
      <c r="H13" s="864">
        <f t="shared" si="3"/>
        <v>0</v>
      </c>
      <c r="I13" s="866">
        <f t="shared" si="3"/>
        <v>0</v>
      </c>
      <c r="J13" s="866">
        <f t="shared" si="3"/>
        <v>0</v>
      </c>
      <c r="K13" s="866">
        <f t="shared" si="3"/>
        <v>0</v>
      </c>
      <c r="L13" s="866">
        <f t="shared" si="3"/>
        <v>415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215</v>
      </c>
      <c r="Y13" s="867">
        <f t="shared" si="4"/>
        <v>215</v>
      </c>
      <c r="Z13" s="867">
        <f t="shared" si="4"/>
        <v>0</v>
      </c>
      <c r="AA13" s="867">
        <f t="shared" si="4"/>
        <v>62</v>
      </c>
      <c r="AB13" s="867">
        <f t="shared" si="4"/>
        <v>5842</v>
      </c>
      <c r="AC13" s="867">
        <f t="shared" si="4"/>
        <v>127</v>
      </c>
      <c r="AD13" s="867">
        <f t="shared" si="4"/>
        <v>0</v>
      </c>
      <c r="AE13" s="871">
        <f t="shared" si="4"/>
        <v>0</v>
      </c>
      <c r="AF13" s="864">
        <f t="shared" si="4"/>
        <v>0</v>
      </c>
      <c r="AG13" s="872">
        <f t="shared" si="4"/>
        <v>0</v>
      </c>
      <c r="AH13" s="869">
        <f t="shared" si="4"/>
        <v>0</v>
      </c>
      <c r="AI13" s="864">
        <f t="shared" si="4"/>
        <v>289</v>
      </c>
      <c r="AJ13" s="866">
        <f t="shared" si="4"/>
        <v>0</v>
      </c>
      <c r="AK13" s="869">
        <f>SUBTOTAL(9,AK9:AK12)</f>
        <v>0</v>
      </c>
      <c r="AL13" s="873">
        <f>IF(ISNUMBER(NºAsuntos!G13/NºAsuntos!E13),NºAsuntos!G13/NºAsuntos!E13," - ")</f>
        <v>1.3960573476702509</v>
      </c>
      <c r="AM13" s="873">
        <f>IF(ISNUMBER(((NºAsuntos!I13/NºAsuntos!G13)*11)/factor_trimestre),((NºAsuntos!I13/NºAsuntos!G13)*11)/factor_trimestre," - ")</f>
        <v>4.038510911424904</v>
      </c>
      <c r="AN13" s="874">
        <f>IF(ISNUMBER('Resol  Asuntos'!D13/NºAsuntos!G13),'Resol  Asuntos'!D13/NºAsuntos!G13," - ")</f>
        <v>0.18549422336328628</v>
      </c>
      <c r="AO13" s="875">
        <f>IF(ISNUMBER((NºAsuntos!C13+NºAsuntos!E13)/NºAsuntos!G13),(NºAsuntos!C13+NºAsuntos!E13)/NºAsuntos!G13," - ")</f>
        <v>2.988446726572529</v>
      </c>
      <c r="AP13" s="876" t="str">
        <f t="shared" si="2"/>
        <v xml:space="preserve"> - </v>
      </c>
      <c r="AQ13" s="876">
        <f>IF(ISNUMBER((H13-W13+K13)/(F13)),(H13-W13+K13)/(F13)," - ")</f>
        <v>0</v>
      </c>
      <c r="AR13" s="877">
        <f>IF(ISNUMBER((Datos!P13-Datos!Q13)/(Datos!R13-Datos!P13+Datos!Q13)),(Datos!P13-Datos!Q13)/(Datos!R13-Datos!P13+Datos!Q13)," - ")</f>
        <v>3.5448422545196742E-2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6</v>
      </c>
      <c r="B16" s="274" t="s">
        <v>396</v>
      </c>
      <c r="C16" s="159" t="str">
        <f>Datos!A16</f>
        <v xml:space="preserve">Jdos. 1ª Instª. e Instr./Secc. Civil y de Inst. TI                      </v>
      </c>
      <c r="D16" s="159"/>
      <c r="E16" s="1024">
        <f>IF(ISNUMBER(Datos!AQ16),Datos!AQ16," - ")</f>
        <v>6</v>
      </c>
      <c r="F16" s="224">
        <f>IF(ISNUMBER(AA16+W16-Datos!J16-K16),AA16+W16-Datos!J16-K16," - ")</f>
        <v>1983</v>
      </c>
      <c r="G16" s="332">
        <f>IF(ISNUMBER(IF(D_I="SI",Datos!I16,Datos!I16+Datos!AC16)),IF(D_I="SI",Datos!I16,Datos!I16+Datos!AC16)," - ")</f>
        <v>1979</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29</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1683</v>
      </c>
      <c r="X16" s="225">
        <f>IF(ISNUMBER(Datos!Q16),Datos!Q16," - ")</f>
        <v>79</v>
      </c>
      <c r="Y16" s="333">
        <f t="shared" ref="Y16:Y17" si="7">SUM(W16:X16)</f>
        <v>1762</v>
      </c>
      <c r="Z16" s="334" t="str">
        <f>IF(ISNUMBER(Datos!CC16),Datos!CC16," - ")</f>
        <v xml:space="preserve"> - </v>
      </c>
      <c r="AA16" s="331">
        <f>IF(ISNUMBER(IF(D_I="SI",Datos!L16,Datos!L16+Datos!AF16)),IF(D_I="SI",Datos!L16,Datos!L16+Datos!AF16)," - ")</f>
        <v>2096</v>
      </c>
      <c r="AB16" s="333">
        <f>IF(ISNUMBER(Datos!R16),Datos!R16," - ")</f>
        <v>426</v>
      </c>
      <c r="AC16" s="333">
        <f t="shared" si="6"/>
        <v>2522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138</v>
      </c>
      <c r="AJ16" s="230" t="str">
        <f>IF(ISNUMBER(Datos!BW16),Datos!BW16," - ")</f>
        <v xml:space="preserve"> - </v>
      </c>
      <c r="AK16" s="231" t="str">
        <f>IF(ISNUMBER(Datos!BX16),Datos!BX16," - ")</f>
        <v xml:space="preserve"> - </v>
      </c>
      <c r="AL16" s="242">
        <f>IF(ISNUMBER(NºAsuntos!G16/NºAsuntos!E16),NºAsuntos!G16/NºAsuntos!E16," - ")</f>
        <v>0.93708240534521159</v>
      </c>
      <c r="AM16" s="259">
        <f>IF(ISNUMBER(((NºAsuntos!I16/NºAsuntos!G16)*11)/factor_trimestre),((NºAsuntos!I16/NºAsuntos!G16)*11)/factor_trimestre," - ")</f>
        <v>2.4907902554961376</v>
      </c>
      <c r="AN16" s="243">
        <f>IF(ISNUMBER('Resol  Asuntos'!D16/NºAsuntos!G16),'Resol  Asuntos'!D16/NºAsuntos!G16," - ")</f>
        <v>8.1996434937611412E-2</v>
      </c>
      <c r="AO16" s="244">
        <f>IF(ISNUMBER((NºAsuntos!C16+NºAsuntos!E16)/NºAsuntos!G16),(NºAsuntos!C16+NºAsuntos!E16)/NºAsuntos!G16," - ")</f>
        <v>2.2430184194890077</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145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72</v>
      </c>
      <c r="X17" s="225">
        <f>IF(ISNUMBER(Datos!Q17),Datos!Q17," - ")</f>
        <v>0</v>
      </c>
      <c r="Y17" s="333">
        <f t="shared" si="7"/>
        <v>72</v>
      </c>
      <c r="Z17" s="334" t="str">
        <f>IF(ISNUMBER(Datos!CC17),Datos!CC17," - ")</f>
        <v xml:space="preserve"> - </v>
      </c>
      <c r="AA17" s="331">
        <f>IF(ISNUMBER(Datos!L17),Datos!L17,"-")</f>
        <v>164</v>
      </c>
      <c r="AB17" s="333">
        <f>IF(ISNUMBER(Datos!R17),Datos!R17," - ")</f>
        <v>6</v>
      </c>
      <c r="AC17" s="333">
        <f t="shared" si="6"/>
        <v>170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v>
      </c>
      <c r="AJ17" s="230" t="str">
        <f>IF(ISNUMBER(Datos!BW17),Datos!BW17," - ")</f>
        <v xml:space="preserve"> - </v>
      </c>
      <c r="AK17" s="231" t="str">
        <f>IF(ISNUMBER(Datos!BX17),Datos!BX17," - ")</f>
        <v xml:space="preserve"> - </v>
      </c>
      <c r="AL17" s="242">
        <f>IF(ISNUMBER(NºAsuntos!G17/NºAsuntos!E17),NºAsuntos!G17/NºAsuntos!E17," - ")</f>
        <v>0.79120879120879117</v>
      </c>
      <c r="AM17" s="259">
        <f>IF(ISNUMBER(((NºAsuntos!I17/NºAsuntos!G17)*11)/factor_trimestre),((NºAsuntos!I17/NºAsuntos!G17)*11)/factor_trimestre," - ")</f>
        <v>4.5555555555555554</v>
      </c>
      <c r="AN17" s="243">
        <f>IF(ISNUMBER('Resol  Asuntos'!D17/NºAsuntos!G17),'Resol  Asuntos'!D17/NºAsuntos!G17," - ")</f>
        <v>2.7777777777777776E-2</v>
      </c>
      <c r="AO17" s="244">
        <f>IF(ISNUMBER((NºAsuntos!C17+NºAsuntos!E17)/NºAsuntos!G17),(NºAsuntos!C17+NºAsuntos!E17)/NºAsuntos!G17," - ")</f>
        <v>3.2777777777777777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6</v>
      </c>
      <c r="F18" s="864">
        <f>SUBTOTAL(9,F14:F17)</f>
        <v>1983</v>
      </c>
      <c r="G18" s="865">
        <f>SUBTOTAL(9,G15:G17)</f>
        <v>2124</v>
      </c>
      <c r="H18" s="864">
        <f t="shared" ref="H18:O18" si="10">SUBTOTAL(9,H14:H17)</f>
        <v>0</v>
      </c>
      <c r="I18" s="866">
        <f t="shared" si="10"/>
        <v>0</v>
      </c>
      <c r="J18" s="866">
        <f t="shared" si="10"/>
        <v>0</v>
      </c>
      <c r="K18" s="866">
        <f t="shared" si="10"/>
        <v>0</v>
      </c>
      <c r="L18" s="866">
        <f t="shared" si="10"/>
        <v>29</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1755</v>
      </c>
      <c r="X18" s="866">
        <f t="shared" si="11"/>
        <v>79</v>
      </c>
      <c r="Y18" s="867">
        <f t="shared" si="11"/>
        <v>1834</v>
      </c>
      <c r="Z18" s="867">
        <f t="shared" si="11"/>
        <v>0</v>
      </c>
      <c r="AA18" s="867">
        <f t="shared" si="11"/>
        <v>2260</v>
      </c>
      <c r="AB18" s="867">
        <f t="shared" si="11"/>
        <v>432</v>
      </c>
      <c r="AC18" s="867">
        <f t="shared" si="11"/>
        <v>2692</v>
      </c>
      <c r="AD18" s="867">
        <f t="shared" si="11"/>
        <v>0</v>
      </c>
      <c r="AE18" s="871">
        <f t="shared" si="11"/>
        <v>0</v>
      </c>
      <c r="AF18" s="864">
        <f t="shared" si="11"/>
        <v>0</v>
      </c>
      <c r="AG18" s="872">
        <f t="shared" si="11"/>
        <v>0</v>
      </c>
      <c r="AH18" s="869">
        <f t="shared" si="11"/>
        <v>0</v>
      </c>
      <c r="AI18" s="864">
        <f t="shared" si="11"/>
        <v>140</v>
      </c>
      <c r="AJ18" s="866">
        <f t="shared" si="11"/>
        <v>0</v>
      </c>
      <c r="AK18" s="869">
        <f t="shared" si="11"/>
        <v>0</v>
      </c>
      <c r="AL18" s="873">
        <f>IF(ISNUMBER(NºAsuntos!G18/NºAsuntos!E18),NºAsuntos!G18/NºAsuntos!E18," - ")</f>
        <v>0.93004769475357707</v>
      </c>
      <c r="AM18" s="873">
        <f>IF(ISNUMBER(((NºAsuntos!I18/NºAsuntos!G18)*11)/factor_trimestre),((NºAsuntos!I18/NºAsuntos!G18)*11)/factor_trimestre," - ")</f>
        <v>2.5754985754985755</v>
      </c>
      <c r="AN18" s="874">
        <f>IF(ISNUMBER('Resol  Asuntos'!D18/NºAsuntos!G18),'Resol  Asuntos'!D18/NºAsuntos!G18," - ")</f>
        <v>7.9772079772079771E-2</v>
      </c>
      <c r="AO18" s="875">
        <f>IF(ISNUMBER((NºAsuntos!C18+NºAsuntos!E18)/NºAsuntos!G18),(NºAsuntos!C18+NºAsuntos!E18)/NºAsuntos!G18," - ")</f>
        <v>2.2854700854700853</v>
      </c>
      <c r="AP18" s="876" t="str">
        <f t="shared" si="2"/>
        <v xml:space="preserve"> - </v>
      </c>
      <c r="AQ18" s="876">
        <f>IF(ISNUMBER((H18-W18+K18)/(F18)),(H18-W18+K18)/(F18)," - ")</f>
        <v>-0.88502269288956126</v>
      </c>
      <c r="AR18" s="877">
        <f>IF(ISNUMBER((Datos!P18-Datos!Q18)/(Datos!R18-Datos!P18+Datos!Q18)),(Datos!P18-Datos!Q18)/(Datos!R18-Datos!P18+Datos!Q18)," - ")</f>
        <v>-0.1037344398340249</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12</v>
      </c>
      <c r="F19" s="819">
        <f t="shared" si="13"/>
        <v>2044</v>
      </c>
      <c r="G19" s="820">
        <f t="shared" si="13"/>
        <v>2185</v>
      </c>
      <c r="H19" s="819">
        <f t="shared" si="13"/>
        <v>0</v>
      </c>
      <c r="I19" s="821">
        <f t="shared" si="13"/>
        <v>0</v>
      </c>
      <c r="J19" s="821">
        <f t="shared" si="13"/>
        <v>0</v>
      </c>
      <c r="K19" s="880">
        <f t="shared" si="13"/>
        <v>0</v>
      </c>
      <c r="L19" s="821">
        <f t="shared" si="13"/>
        <v>444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1755</v>
      </c>
      <c r="X19" s="820">
        <f t="shared" si="14"/>
        <v>294</v>
      </c>
      <c r="Y19" s="827">
        <f t="shared" si="14"/>
        <v>2049</v>
      </c>
      <c r="Z19" s="827">
        <f t="shared" si="14"/>
        <v>0</v>
      </c>
      <c r="AA19" s="827">
        <f t="shared" si="14"/>
        <v>2322</v>
      </c>
      <c r="AB19" s="827">
        <f t="shared" si="14"/>
        <v>6274</v>
      </c>
      <c r="AC19" s="827">
        <f t="shared" si="14"/>
        <v>2819</v>
      </c>
      <c r="AD19" s="827">
        <f t="shared" si="14"/>
        <v>0</v>
      </c>
      <c r="AE19" s="829">
        <f t="shared" si="14"/>
        <v>0</v>
      </c>
      <c r="AF19" s="830">
        <f t="shared" si="14"/>
        <v>0</v>
      </c>
      <c r="AG19" s="831">
        <f t="shared" si="14"/>
        <v>0</v>
      </c>
      <c r="AH19" s="829">
        <f t="shared" si="14"/>
        <v>0</v>
      </c>
      <c r="AI19" s="819">
        <f t="shared" si="14"/>
        <v>429</v>
      </c>
      <c r="AJ19" s="819">
        <f t="shared" si="14"/>
        <v>0</v>
      </c>
      <c r="AK19" s="829">
        <f t="shared" si="14"/>
        <v>0</v>
      </c>
      <c r="AL19" s="883">
        <f>IF(ISNUMBER(NºAsuntos!G19/NºAsuntos!E19),NºAsuntos!G19/NºAsuntos!E19," - ")</f>
        <v>1.1032301032301033</v>
      </c>
      <c r="AM19" s="884">
        <f>IF(ISNUMBER(((NºAsuntos!I19/NºAsuntos!G19)*11)/factor_trimestre),((NºAsuntos!I19/NºAsuntos!G19)*11)/factor_trimestre," - ")</f>
        <v>3.2635073951101718</v>
      </c>
      <c r="AN19" s="884">
        <f>IF(ISNUMBER('Resol  Asuntos'!D19/NºAsuntos!G19),'Resol  Asuntos'!D19/NºAsuntos!G19," - ")</f>
        <v>0.12948988831874433</v>
      </c>
      <c r="AO19" s="885">
        <f>IF(ISNUMBER((NºAsuntos!C19+NºAsuntos!E19)/NºAsuntos!G19),(NºAsuntos!C19+NºAsuntos!E19)/NºAsuntos!G19," - ")</f>
        <v>2.6160579535164503</v>
      </c>
      <c r="AP19" s="886" t="str">
        <f t="shared" si="2"/>
        <v xml:space="preserve"> - </v>
      </c>
      <c r="AQ19" s="887">
        <f>IF(OR(ISNUMBER(FIND("01",Criterios!A8,1)),ISNUMBER(FIND("02",Criterios!A8,1)),ISNUMBER(FIND("03",Criterios!A8,1)),ISNUMBER(FIND("04",Criterios!A8,1))),(I19-W19+K19)/(F19-K19),(H19-W19+K19)/(F19-K19))</f>
        <v>-0.85861056751467713</v>
      </c>
      <c r="AR19" s="888">
        <f>IF(ISNUMBER((Datos!P19-Datos!Q19)/(Datos!R19-Datos!P19+Datos!Q19)),(Datos!P19-Datos!Q19)/(Datos!R19-Datos!P19+Datos!Q19)," - ")</f>
        <v>2.4493794905290661E-2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874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3.1622776601683795</v>
      </c>
      <c r="F21" s="251">
        <f>IF(ISNUMBER(STDEV(F8:F18)),STDEV(F8:F18),"-")</f>
        <v>1109.6672173824606</v>
      </c>
      <c r="G21" s="252">
        <f>IF(ISNUMBER(STDEV(G8:G18)),STDEV(G8:G18),"-")</f>
        <v>1076.6735809891502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929.20369134006353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128.83788262774269</v>
      </c>
      <c r="AJ21" s="251">
        <f t="shared" si="18"/>
        <v>0</v>
      </c>
      <c r="AK21" s="253">
        <f t="shared" si="18"/>
        <v>0</v>
      </c>
      <c r="AL21" s="248">
        <f t="shared" si="18"/>
        <v>0.51323629356604605</v>
      </c>
      <c r="AM21" s="249">
        <f t="shared" si="18"/>
        <v>0.93342948935273695</v>
      </c>
      <c r="AN21" s="249">
        <f t="shared" si="18"/>
        <v>7.0418357019067471E-2</v>
      </c>
      <c r="AO21" s="250">
        <f t="shared" si="18"/>
        <v>0.46034727334877407</v>
      </c>
      <c r="AP21" s="290" t="str">
        <f t="shared" si="18"/>
        <v>-</v>
      </c>
      <c r="AQ21" s="291">
        <f t="shared" si="18"/>
        <v>0.62580554764618801</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8VKre1eAU3MUhf0BNsz4ck1LUDoGppBBLAVUfqWMKeyxADc9olvweZ9CK6pY2dWbI2rMGVqZlbZFIckpz2wYeQ==" saltValue="CBHKQGgy+bldfvQOnYJNq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BARCELONA</v>
      </c>
      <c r="E3" s="262"/>
    </row>
    <row r="4" spans="2:20" ht="17.25" customHeight="1" thickBot="1">
      <c r="D4" s="261" t="str">
        <f>Criterios!A11 &amp;"  "&amp;Criterios!B11</f>
        <v>Resumenes por Partidos Judiciales  SANT BOI DE LLOBREGAT</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0.52500000000000002</v>
      </c>
      <c r="E10" s="347">
        <f>IF(ISNUMBER((Datos!J10-Datos!T10)/Datos!T10),(Datos!J10-Datos!T10)/Datos!T10," - ")</f>
        <v>-0.9</v>
      </c>
      <c r="F10" s="347">
        <f>IF(ISNUMBER((Datos!K10-Datos!U10)/Datos!U10),(Datos!K10-Datos!U10)/Datos!U10," - ")</f>
        <v>-1</v>
      </c>
      <c r="G10" s="348">
        <f>IF(ISNUMBER((Datos!L10-Datos!V10)/Datos!V10),(Datos!L10-Datos!V10)/Datos!V10," - ")</f>
        <v>0.37777777777777777</v>
      </c>
      <c r="H10" s="229">
        <f>IF(ISNUMBER((Datos!M10-Datos!W10)/Datos!W10),(Datos!M10-Datos!W10)/Datos!W10," - ")</f>
        <v>-1</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9.4696969696969696E-2</v>
      </c>
      <c r="I12" s="349">
        <f>IF(ISNUMBER((Tasas!C12-Datos!BE12)/Datos!BE12),(Tasas!C12-Datos!BE12)/Datos!BE12," - ")</f>
        <v>-0.23490122542684014</v>
      </c>
      <c r="J12" s="348">
        <f>IF(ISNUMBER((Tasas!D12-Datos!BF12)/Datos!BF12),(Tasas!D12-Datos!BF12)/Datos!BF12," - ")</f>
        <v>-0.62709075510250589</v>
      </c>
      <c r="K12" s="350">
        <f>IF(ISNUMBER((Tasas!E12-Datos!BG12)/Datos!BG12),(Tasas!E12-Datos!BG12)/Datos!BG12," - ")</f>
        <v>-0.17800651723116417</v>
      </c>
      <c r="M12" t="e">
        <f>IF(Monitorios="SI",Datos!CE12,0)</f>
        <v>#REF!</v>
      </c>
      <c r="N12" t="e">
        <f>IF(Monitorios="SI",Datos!CF12,0)</f>
        <v>#REF!</v>
      </c>
      <c r="O12" t="e">
        <f>IF(Monitorios="SI",Datos!CG12,0)</f>
        <v>#REF!</v>
      </c>
      <c r="P12" t="e">
        <f>IF(Monitorios="SI",Datos!CH12,0)</f>
        <v>#REF!</v>
      </c>
      <c r="Q12">
        <f>IF(J_V="SI",0,Datos!AG12)</f>
        <v>172</v>
      </c>
      <c r="R12">
        <f>IF(J_V="SI",0,Datos!AH12)</f>
        <v>360</v>
      </c>
      <c r="S12">
        <f>IF(J_V="SI",0,Datos!AI12)</f>
        <v>362</v>
      </c>
      <c r="T12">
        <f>IF(J_V="SI",0,Datos!AJ12)</f>
        <v>170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8.646616541353383E-2</v>
      </c>
      <c r="I13" s="356">
        <f>IF(ISNUMBER((Tasas!C13-Datos!BE13)/Datos!BE13),(Tasas!C13-Datos!BE13)/Datos!BE13," - ")</f>
        <v>-0.22654747498124561</v>
      </c>
      <c r="J13" s="354">
        <f>IF(ISNUMBER((Tasas!D13-Datos!BF13)/Datos!BF13),(Tasas!D13-Datos!BF13)/Datos!BF13," - ")</f>
        <v>-0.6268228308738607</v>
      </c>
      <c r="K13" s="357">
        <f>IF(ISNUMBER((Tasas!E13-Datos!BG13)/Datos!BG13),(Tasas!E13-Datos!BG13)/Datos!BG13," - ")</f>
        <v>-0.1723367847624509</v>
      </c>
      <c r="M13" t="e">
        <f>IF(Monitorios="SI",Datos!CE13,0)</f>
        <v>#REF!</v>
      </c>
      <c r="N13" t="e">
        <f>IF(Monitorios="SI",Datos!CF13,0)</f>
        <v>#REF!</v>
      </c>
      <c r="O13" t="e">
        <f>IF(Monitorios="SI",Datos!CG13,0)</f>
        <v>#REF!</v>
      </c>
      <c r="P13" t="e">
        <f>IF(Monitorios="SI",Datos!CH13,0)</f>
        <v>#REF!</v>
      </c>
      <c r="Q13">
        <f>IF(J_V="SI",0,Datos!AG13)</f>
        <v>172</v>
      </c>
      <c r="R13">
        <f>IF(J_V="SI",0,Datos!AH13)</f>
        <v>360</v>
      </c>
      <c r="S13">
        <f>IF(J_V="SI",0,Datos!AI13)</f>
        <v>362</v>
      </c>
      <c r="T13">
        <f>IF(J_V="SI",0,Datos!AJ13)</f>
        <v>170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0.11179775280898877</v>
      </c>
      <c r="E16" s="347">
        <f>IF(ISNUMBER(
   IF(D_I="SI",(Datos!J16-Datos!T16)/Datos!T16,(Datos!J16+Datos!AD16-(Datos!T16+Datos!AL16))/(Datos!T16+Datos!AL16))
     ),IF(D_I="SI",(Datos!J16-Datos!T16)/Datos!T16,(Datos!J16+Datos!AD16-(Datos!T16+Datos!AL16))/(Datos!T16+Datos!AL16))," - ")</f>
        <v>7.0960047704233753E-2</v>
      </c>
      <c r="F16" s="347">
        <f>IF(ISNUMBER(
   IF(D_I="SI",(Datos!K16-Datos!U16)/Datos!U16,(Datos!K16+Datos!AE16-(Datos!U16+Datos!AM16))/(Datos!U16+Datos!AM16))
     ),IF(D_I="SI",(Datos!K16-Datos!U16)/Datos!U16,(Datos!K16+Datos!AE16-(Datos!U16+Datos!AM16))/(Datos!U16+Datos!AM16))," - ")</f>
        <v>8.7209302325581398E-2</v>
      </c>
      <c r="G16" s="348">
        <f>IF(ISNUMBER(
   IF(D_I="SI",(Datos!L16-Datos!V16)/Datos!V16,(Datos!L16+Datos!AF16-(Datos!V16+Datos!AN16))/(Datos!V16+Datos!AN16))
     ),IF(D_I="SI",(Datos!L16-Datos!V16)/Datos!V16,(Datos!L16+Datos!AF16-(Datos!V16+Datos!AN16))/(Datos!V16+Datos!AN16))," - ")</f>
        <v>9.566126502875065E-2</v>
      </c>
      <c r="H16" s="229">
        <f>IF(ISNUMBER((Datos!M16-Datos!W16)/Datos!W16),(Datos!M16-Datos!W16)/Datos!W16," - ")</f>
        <v>-0.14285714285714285</v>
      </c>
      <c r="I16" s="349">
        <f>IF(ISNUMBER((Tasas!C16-Datos!BE16)/Datos!BE16),(Tasas!C16-Datos!BE16)/Datos!BE16," - ")</f>
        <v>7.7739977804551427E-3</v>
      </c>
      <c r="J16" s="348">
        <f>IF(ISNUMBER((Tasas!D16-Datos!BF16)/Datos!BF16),(Tasas!D16-Datos!BF16)/Datos!BF16," - ")</f>
        <v>-0.21161191749427039</v>
      </c>
      <c r="K16" s="350">
        <f>IF(ISNUMBER((Tasas!E16-Datos!BG16)/Datos!BG16),(Tasas!E16-Datos!BG16)/Datos!BG16," - ")</f>
        <v>4.3947102600475005E-3</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0.29464285714285715</v>
      </c>
      <c r="E17" s="347">
        <f>IF(ISNUMBER(
   IF(D_I="SI",(Datos!J17-Datos!T17)/Datos!T17,(Datos!J17+Datos!AD17-(Datos!T17+Datos!AL17))/(Datos!T17+Datos!AL17))
     ),IF(D_I="SI",(Datos!J17-Datos!T17)/Datos!T17,(Datos!J17+Datos!AD17-(Datos!T17+Datos!AL17))/(Datos!T17+Datos!AL17))," - ")</f>
        <v>4.5977011494252873E-2</v>
      </c>
      <c r="F17" s="347">
        <f>IF(ISNUMBER(
   IF(D_I="SI",(Datos!K17-Datos!U17)/Datos!U17,(Datos!K17+Datos!AE17-(Datos!U17+Datos!AM17))/(Datos!U17+Datos!AM17))
     ),IF(D_I="SI",(Datos!K17-Datos!U17)/Datos!U17,(Datos!K17+Datos!AE17-(Datos!U17+Datos!AM17))/(Datos!U17+Datos!AM17))," - ")</f>
        <v>0.2413793103448276</v>
      </c>
      <c r="G17" s="348">
        <f>IF(ISNUMBER(
   IF(D_I="SI",(Datos!L17-Datos!V17)/Datos!V17,(Datos!L17+Datos!AF17-(Datos!V17+Datos!AN17))/(Datos!V17+Datos!AN17))
     ),IF(D_I="SI",(Datos!L17-Datos!V17)/Datos!V17,(Datos!L17+Datos!AF17-(Datos!V17+Datos!AN17))/(Datos!V17+Datos!AN17))," - ")</f>
        <v>0.16312056737588654</v>
      </c>
      <c r="H17" s="229">
        <f>IF(ISNUMBER((Datos!M17-Datos!W17)/Datos!W17),(Datos!M17-Datos!W17)/Datos!W17," - ")</f>
        <v>-0.33333333333333331</v>
      </c>
      <c r="I17" s="349">
        <f>IF(ISNUMBER((Tasas!C17-Datos!BE17)/Datos!BE17),(Tasas!C17-Datos!BE17)/Datos!BE17," - ")</f>
        <v>-6.3041765169424738E-2</v>
      </c>
      <c r="J17" s="348">
        <f>IF(ISNUMBER((Tasas!D17-Datos!BF17)/Datos!BF17),(Tasas!D17-Datos!BF17)/Datos!BF17," - ")</f>
        <v>-0.46296296296296297</v>
      </c>
      <c r="K17" s="350">
        <f>IF(ISNUMBER((Tasas!E17-Datos!BG17)/Datos!BG17),(Tasas!E17-Datos!BG17)/Datos!BG17," - ")</f>
        <v>-4.4667783361250692E-2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0.1226215644820296</v>
      </c>
      <c r="E18" s="353">
        <f>IF(ISNUMBER(
   IF(D_I="SI",(Datos!J18-Datos!T18)/Datos!T18,(Datos!J18+Datos!AD18-(Datos!T18+Datos!AL18))/(Datos!T18+Datos!AL18))
     ),IF(D_I="SI",(Datos!J18-Datos!T18)/Datos!T18,(Datos!J18+Datos!AD18-(Datos!T18+Datos!AL18))/(Datos!T18+Datos!AL18))," - ")</f>
        <v>6.9727891156462579E-2</v>
      </c>
      <c r="F18" s="353">
        <f>IF(ISNUMBER(
   IF(D_I="SI",(Datos!K18-Datos!U18)/Datos!U18,(Datos!K18+Datos!AE18-(Datos!U18+Datos!AM18))/(Datos!U18+Datos!AM18))
     ),IF(D_I="SI",(Datos!K18-Datos!U18)/Datos!U18,(Datos!K18+Datos!AE18-(Datos!U18+Datos!AM18))/(Datos!U18+Datos!AM18))," - ")</f>
        <v>9.2777085927770855E-2</v>
      </c>
      <c r="G18" s="354">
        <f>IF(ISNUMBER(
   IF(D_I="SI",(Datos!L18-Datos!V18)/Datos!V18,(Datos!L18+Datos!AF18-(Datos!V18+Datos!AN18))/(Datos!V18+Datos!AN18))
     ),IF(D_I="SI",(Datos!L18-Datos!V18)/Datos!V18,(Datos!L18+Datos!AF18-(Datos!V18+Datos!AN18))/(Datos!V18+Datos!AN18))," - ")</f>
        <v>0.10029211295034079</v>
      </c>
      <c r="H18" s="355">
        <f>IF(ISNUMBER((Datos!M18-Datos!W18)/Datos!W18),(Datos!M18-Datos!W18)/Datos!W18," - ")</f>
        <v>-0.14634146341463414</v>
      </c>
      <c r="I18" s="356">
        <f>IF(ISNUMBER((Tasas!C18-Datos!BE18)/Datos!BE18),(Tasas!C18-Datos!BE18)/Datos!BE18," - ")</f>
        <v>6.8769990873204191E-3</v>
      </c>
      <c r="J18" s="354">
        <f>IF(ISNUMBER((Tasas!D18-Datos!BF18)/Datos!BF18),(Tasas!D18-Datos!BF18)/Datos!BF18," - ")</f>
        <v>-0.21881731637829205</v>
      </c>
      <c r="K18" s="357">
        <f>IF(ISNUMBER((Tasas!E18-Datos!BG18)/Datos!BG18),(Tasas!E18-Datos!BG18)/Datos!BG18," - ")</f>
        <v>3.9564981578109172E-3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5.259245493402713E-2</v>
      </c>
      <c r="E19" s="362">
        <f>IF(ISNUMBER(
   IF(J_V="SI",(Datos!J19-Datos!T19)/Datos!T19,(Datos!J19+Datos!Z19-(Datos!T19+Datos!AH19))/(Datos!T19+Datos!AH19))
     ),IF(J_V="SI",(Datos!J19-Datos!T19)/Datos!T19,(Datos!J19+Datos!Z19-(Datos!T19+Datos!AH19))/(Datos!T19+Datos!AH19))," - ")</f>
        <v>-6.1562499999999999E-2</v>
      </c>
      <c r="F19" s="362">
        <f>IF(ISNUMBER(
   IF(J_V="SI",(Datos!K19-Datos!U19)/Datos!U19,(Datos!K19+Datos!AA19-(Datos!U19+Datos!AI19))/(Datos!U19+Datos!AI19))
     ),IF(J_V="SI",(Datos!K19-Datos!U19)/Datos!U19,(Datos!K19+Datos!AA19-(Datos!U19+Datos!AI19))/(Datos!U19+Datos!AI19))," - ")</f>
        <v>0.11548821548821549</v>
      </c>
      <c r="G19" s="363">
        <f>IF(ISNUMBER(
   IF(J_V="SI",(Datos!L19-Datos!V19)/Datos!V19,(Datos!L19+Datos!AB19-(Datos!V19+Datos!AJ19))/(Datos!V19+Datos!AJ19))
     ),IF(J_V="SI",(Datos!L19-Datos!V19)/Datos!V19,(Datos!L19+Datos!AB19-(Datos!V19+Datos!AJ19))/(Datos!V19+Datos!AJ19))," - ")</f>
        <v>-3.722172751558326E-2</v>
      </c>
      <c r="H19" s="364">
        <f>IF(ISNUMBER((Datos!M19-Datos!W19)/Datos!W19),(Datos!M19-Datos!W19)/Datos!W19," - ")</f>
        <v>-2.3255813953488372E-3</v>
      </c>
      <c r="I19" s="361">
        <f>IF(ISNUMBER((Tasas!C19-Datos!BE19)/Datos!BE19),(Tasas!C19-Datos!BE19)/Datos!BE19," - ")</f>
        <v>-0.13689964706347191</v>
      </c>
      <c r="J19" s="362">
        <f>IF(ISNUMBER((Tasas!D19-Datos!BF19)/Datos!BF19),(Tasas!D19-Datos!BF19)/Datos!BF19," - ")</f>
        <v>-0.54324825616784955</v>
      </c>
      <c r="K19" s="363">
        <f>IF(ISNUMBER((Tasas!E19-Datos!BG19)/Datos!BG19),(Tasas!E19-Datos!BG19)/Datos!BG19," - ")</f>
        <v>-9.4547008280636627E-2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0.19340150980227541</v>
      </c>
      <c r="E21" s="277">
        <f t="shared" si="1"/>
        <v>0.48124819289642723</v>
      </c>
      <c r="F21" s="277">
        <f t="shared" si="1"/>
        <v>0.57468037721218423</v>
      </c>
      <c r="G21" s="278">
        <f t="shared" si="1"/>
        <v>0.1326603921796356</v>
      </c>
      <c r="H21" s="284">
        <f t="shared" si="1"/>
        <v>0.40573924476034967</v>
      </c>
      <c r="I21" s="276">
        <f t="shared" si="1"/>
        <v>0.12103416838870205</v>
      </c>
      <c r="J21" s="277">
        <f t="shared" si="1"/>
        <v>0.20673689686913546</v>
      </c>
      <c r="K21" s="278">
        <f t="shared" si="1"/>
        <v>9.1535913305639066E-2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oxn9DWC08kop8Xoo+8nXTIEf9AI8hR81eDi/C3vlwkFoHD3L3ovC5ZrlHtuxY/Xfif1yd2lghFNfiEk+JI4l5g==" saltValue="ISiKeWIPVv40zCCsb+A51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2025-12-09T21:39:41Z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